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4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lovink0-my.sharepoint.com/personal/w_jonker_lovink_com/Documents/Documenten/Strategie/Operationeel Plan/Website Ontwikkeling/Gated_Downloads/"/>
    </mc:Choice>
  </mc:AlternateContent>
  <xr:revisionPtr revIDLastSave="3" documentId="8_{ACF65908-A472-4ACC-B4E8-1C17F266DF84}" xr6:coauthVersionLast="47" xr6:coauthVersionMax="47" xr10:uidLastSave="{07C671D2-5DBE-4E77-87F4-01AE9BE385F5}"/>
  <bookViews>
    <workbookView xWindow="-108" yWindow="-108" windowWidth="61656" windowHeight="16776" tabRatio="571" xr2:uid="{00000000-000D-0000-FFFF-FFFF00000000}"/>
  </bookViews>
  <sheets>
    <sheet name="Parameters to fill" sheetId="5" r:id="rId1"/>
    <sheet name="Trefoil formation " sheetId="1" r:id="rId2"/>
    <sheet name="Flat (transposition)" sheetId="2" r:id="rId3"/>
    <sheet name="Sheet1" sheetId="4" state="hidden" r:id="rId4"/>
    <sheet name="Flat (no transposition)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5" l="1"/>
  <c r="C8" i="5"/>
  <c r="F19" i="5"/>
  <c r="F20" i="5"/>
  <c r="F12" i="5"/>
  <c r="F13" i="5"/>
  <c r="F3" i="5"/>
  <c r="G3" i="5"/>
  <c r="F4" i="5"/>
  <c r="F5" i="5"/>
  <c r="F6" i="5"/>
  <c r="B13" i="1"/>
  <c r="B10" i="1"/>
  <c r="B9" i="1"/>
  <c r="B5" i="1"/>
  <c r="B4" i="1"/>
  <c r="B3" i="1"/>
  <c r="D27" i="1" s="1"/>
  <c r="B2" i="1"/>
  <c r="B3" i="2"/>
  <c r="E28" i="2" s="1"/>
  <c r="B13" i="2"/>
  <c r="B10" i="2"/>
  <c r="B9" i="2"/>
  <c r="B5" i="2"/>
  <c r="B4" i="2"/>
  <c r="B2" i="2"/>
  <c r="B3" i="3"/>
  <c r="E27" i="3" s="1"/>
  <c r="E28" i="3" s="1"/>
  <c r="B13" i="3"/>
  <c r="B10" i="3"/>
  <c r="B9" i="3"/>
  <c r="B5" i="3"/>
  <c r="B4" i="3"/>
  <c r="B2" i="3"/>
  <c r="C11" i="5"/>
  <c r="C7" i="5"/>
  <c r="C6" i="5"/>
  <c r="E19" i="2" a="1"/>
  <c r="E19" i="2" s="1"/>
  <c r="D19" i="1" a="1"/>
  <c r="D19" i="1" s="1"/>
  <c r="E19" i="3" a="1"/>
  <c r="E19" i="3" s="1"/>
  <c r="B6" i="1" l="1"/>
  <c r="D23" i="1" s="1"/>
  <c r="G22" i="1" s="1"/>
  <c r="B6" i="2"/>
  <c r="B6" i="3"/>
  <c r="B11" i="1"/>
  <c r="B11" i="2"/>
  <c r="B11" i="3"/>
  <c r="B7" i="1"/>
  <c r="B7" i="2"/>
  <c r="B7" i="3"/>
  <c r="B8" i="1"/>
  <c r="D18" i="1" s="1" a="1"/>
  <c r="D18" i="1" s="1"/>
  <c r="G20" i="1" s="1"/>
  <c r="G21" i="1" s="1"/>
  <c r="B8" i="2"/>
  <c r="E18" i="2" s="1" a="1"/>
  <c r="E18" i="2" s="1"/>
  <c r="H19" i="2" s="1"/>
  <c r="B8" i="3"/>
  <c r="E18" i="3" s="1" a="1"/>
  <c r="E18" i="3" s="1"/>
  <c r="B12" i="1"/>
  <c r="B12" i="2"/>
  <c r="B12" i="3"/>
  <c r="D21" i="1"/>
  <c r="E24" i="2"/>
  <c r="H21" i="2" s="1"/>
  <c r="D22" i="1"/>
  <c r="D24" i="1" s="1"/>
  <c r="D26" i="1" s="1"/>
  <c r="D28" i="1" s="1"/>
  <c r="E21" i="3"/>
  <c r="E23" i="3"/>
  <c r="E22" i="2"/>
  <c r="H18" i="2" l="1"/>
  <c r="H22" i="2" s="1"/>
  <c r="H23" i="2" s="1"/>
  <c r="H20" i="2"/>
  <c r="E23" i="2"/>
  <c r="E25" i="2" s="1"/>
  <c r="E27" i="2" s="1"/>
  <c r="E29" i="2" s="1"/>
  <c r="E22" i="3"/>
  <c r="E24" i="3" s="1"/>
  <c r="E26" i="3" s="1"/>
  <c r="I21" i="3"/>
  <c r="G19" i="1"/>
  <c r="G23" i="1" s="1"/>
  <c r="G24" i="1" s="1"/>
  <c r="I19" i="3"/>
  <c r="I20" i="3" s="1"/>
  <c r="H24" i="2" l="1"/>
  <c r="H25" i="2" s="1"/>
  <c r="H26" i="2" s="1"/>
  <c r="E30" i="3"/>
  <c r="E32" i="3" s="1"/>
  <c r="E29" i="3"/>
  <c r="G25" i="1"/>
  <c r="G26" i="1" s="1"/>
  <c r="G27" i="1" s="1"/>
  <c r="I18" i="3"/>
  <c r="I22" i="3" s="1"/>
  <c r="I23" i="3" s="1"/>
  <c r="E21" i="2" l="1"/>
  <c r="E26" i="2" s="1"/>
  <c r="E35" i="2" s="1"/>
  <c r="E33" i="3"/>
  <c r="E31" i="3"/>
  <c r="D20" i="1"/>
  <c r="D29" i="1" s="1"/>
  <c r="I24" i="3"/>
  <c r="I25" i="3" s="1"/>
  <c r="I26" i="3" s="1"/>
  <c r="E20" i="3" s="1"/>
  <c r="E34" i="3" l="1"/>
  <c r="E35" i="3"/>
  <c r="D25" i="1"/>
  <c r="D30" i="1" s="1"/>
  <c r="D31" i="1" s="1"/>
  <c r="D32" i="1" s="1"/>
  <c r="E25" i="3"/>
  <c r="E43" i="3" s="1"/>
  <c r="E36" i="3"/>
  <c r="D33" i="1" l="1"/>
  <c r="G5" i="5" s="1"/>
  <c r="G4" i="5"/>
  <c r="D34" i="1"/>
  <c r="E37" i="3"/>
  <c r="E39" i="3"/>
  <c r="E38" i="3"/>
  <c r="E30" i="2"/>
  <c r="D35" i="1" l="1"/>
  <c r="G7" i="5" s="1"/>
  <c r="G27" i="5" s="1"/>
  <c r="G6" i="5"/>
  <c r="E31" i="2"/>
  <c r="E32" i="2" s="1"/>
  <c r="E33" i="2" s="1"/>
  <c r="E40" i="3"/>
  <c r="E41" i="3" s="1"/>
  <c r="E42" i="3" l="1"/>
  <c r="G19" i="5"/>
  <c r="E34" i="2"/>
  <c r="G12" i="5"/>
  <c r="E44" i="3" l="1"/>
  <c r="G21" i="5" s="1"/>
  <c r="G29" i="5" s="1"/>
  <c r="G20" i="5"/>
  <c r="E36" i="2"/>
  <c r="G14" i="5" s="1"/>
  <c r="G28" i="5" s="1"/>
  <c r="G13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<sst xmlns="http://schemas.openxmlformats.org/spreadsheetml/2006/main" count="212" uniqueCount="98">
  <si>
    <t>Parameters of cable</t>
  </si>
  <si>
    <t>Values</t>
  </si>
  <si>
    <t>Trefoil Formation</t>
  </si>
  <si>
    <t>Result if Crossbondng is done / year</t>
  </si>
  <si>
    <t>Frequency of the grid (Hz)</t>
  </si>
  <si>
    <t>Trefoil</t>
  </si>
  <si>
    <t>Flat (disposition)</t>
  </si>
  <si>
    <t>Flat (no disposition)</t>
  </si>
  <si>
    <t>Distance between cables (m)* see disposition</t>
  </si>
  <si>
    <t>Diameter of insulation (m)</t>
  </si>
  <si>
    <t xml:space="preserve">Area of cross section (conductor) </t>
  </si>
  <si>
    <t>Area of cross section (sheath)</t>
  </si>
  <si>
    <t>Savings if Cross bonding is done/year</t>
  </si>
  <si>
    <t>Type of conductor (Cu/Al) * choose below</t>
  </si>
  <si>
    <t>Type of sheath (Cu/Al) * choose below</t>
  </si>
  <si>
    <t>Flat formation ( transposition)</t>
  </si>
  <si>
    <t>Cost price of energy (Euros/kWh)</t>
  </si>
  <si>
    <t>Result if Crossbonding is done / year</t>
  </si>
  <si>
    <t>Operational hours (hrs)/year</t>
  </si>
  <si>
    <t>Calculated parameters</t>
  </si>
  <si>
    <t>Current in cable (A)</t>
  </si>
  <si>
    <t>Capacity Factor (see below)</t>
  </si>
  <si>
    <t>*Choose Conductor Type</t>
  </si>
  <si>
    <t>Copper</t>
  </si>
  <si>
    <t>*Choose Sheeth Type</t>
  </si>
  <si>
    <t>Flat formation ( no transposition)</t>
  </si>
  <si>
    <t>Results in Worksheets (Trefoil, Flat and Flat)</t>
  </si>
  <si>
    <t xml:space="preserve">* Cable parameters needs to be inserted in SI units  </t>
  </si>
  <si>
    <t>*Current in cable = ampacity</t>
  </si>
  <si>
    <t xml:space="preserve">*Cable dimensions (in orange) can be entered from a cable data sheet </t>
  </si>
  <si>
    <t xml:space="preserve">*Calculations are done as per the formula mentioned in IEC 60287-1-1 </t>
  </si>
  <si>
    <t>* Capacity factor is calculated for a wind farm = (Total energy produced in a year)/(Installed capacity of a wind farm *8760)                [Source: https://www.cbs.nl/en-gb/figures/detail/82610ENG]</t>
  </si>
  <si>
    <t>* Average Lifespan of a Windpark or Solarpark is set to 20 years</t>
  </si>
  <si>
    <t>Formation Type</t>
  </si>
  <si>
    <t>Total Savings*</t>
  </si>
  <si>
    <t>Flat Formation (transposition)</t>
  </si>
  <si>
    <t>Flat Formation (no transposition)</t>
  </si>
  <si>
    <t>* over lifespan of park (20 years)</t>
  </si>
  <si>
    <t>Length (m)</t>
  </si>
  <si>
    <t>Distance between cables (m)</t>
  </si>
  <si>
    <t xml:space="preserve">Type of conductor (Cu/Al) </t>
  </si>
  <si>
    <t>Type of sheath (Cu/Al)</t>
  </si>
  <si>
    <t>Capacity Factor</t>
  </si>
  <si>
    <t xml:space="preserve">Conductor resistivity </t>
  </si>
  <si>
    <t>Parameters</t>
  </si>
  <si>
    <t>Sheath resitivity</t>
  </si>
  <si>
    <t>xs^2</t>
  </si>
  <si>
    <t>Resistance of conductor</t>
  </si>
  <si>
    <t>DC resistance</t>
  </si>
  <si>
    <t>Resistance of sheath</t>
  </si>
  <si>
    <t>xp^2</t>
  </si>
  <si>
    <t>Insulation thickness</t>
  </si>
  <si>
    <t>dc/S</t>
  </si>
  <si>
    <t>Conductor radius</t>
  </si>
  <si>
    <t>ys</t>
  </si>
  <si>
    <t>Sheath radius (rsh)</t>
  </si>
  <si>
    <t>Term1(proximity)</t>
  </si>
  <si>
    <t xml:space="preserve">Power loss in conductor </t>
  </si>
  <si>
    <t>Term2 proximity</t>
  </si>
  <si>
    <t xml:space="preserve">Mutual inductance </t>
  </si>
  <si>
    <t>yp</t>
  </si>
  <si>
    <t>Omega</t>
  </si>
  <si>
    <t>AC resistance of conductor</t>
  </si>
  <si>
    <t>Mutual reactance</t>
  </si>
  <si>
    <t xml:space="preserve">Sheath loss  factor </t>
  </si>
  <si>
    <t>Power loss in cable in kW</t>
  </si>
  <si>
    <t>Power loss in 3 cables in kW</t>
  </si>
  <si>
    <t>COMSOL</t>
  </si>
  <si>
    <t xml:space="preserve">Total cost of energy loss @ 100% capacity factor/ yr </t>
  </si>
  <si>
    <t>Total cost of energy loss per year @ capacity factor/ yr</t>
  </si>
  <si>
    <t>Energy cost from conductor</t>
  </si>
  <si>
    <t>Savings if Cross bonding is done/year/Joint</t>
  </si>
  <si>
    <t>* Length = Length of the cable system as shown in figure [Source: https://elek.com]</t>
  </si>
  <si>
    <t>Distance between cables (m) [d as shown in figure]</t>
  </si>
  <si>
    <t>Operational hours (hrs)</t>
  </si>
  <si>
    <t>xs</t>
  </si>
  <si>
    <t>xp</t>
  </si>
  <si>
    <t>Power loss in 3 cables in KW</t>
  </si>
  <si>
    <t>Savings if Cross bonding is done/year/joint</t>
  </si>
  <si>
    <t>* Length of the cable system = distance between the grounding points as shown in figure</t>
  </si>
  <si>
    <t>Cost price of energy (Euro/kWh)</t>
  </si>
  <si>
    <t>* Cable parameters needs to be inserted in SI units              * Operation of the cable is considered for 24*7                     * Cables are equidistant from each other</t>
  </si>
  <si>
    <t>X</t>
  </si>
  <si>
    <t xml:space="preserve">Xm </t>
  </si>
  <si>
    <t>P</t>
  </si>
  <si>
    <t>Q</t>
  </si>
  <si>
    <t xml:space="preserve">Term1 </t>
  </si>
  <si>
    <t>Term2</t>
  </si>
  <si>
    <t>Term 3</t>
  </si>
  <si>
    <t>Sheath loss factor outer cable</t>
  </si>
  <si>
    <t>Sheath loss factor  outer cable 2</t>
  </si>
  <si>
    <t>Sheath loss factor middle cable</t>
  </si>
  <si>
    <t xml:space="preserve">Power loss in  outer cable  </t>
  </si>
  <si>
    <t>Power loss in  outer cable  2</t>
  </si>
  <si>
    <t>Power loss in middle cable</t>
  </si>
  <si>
    <t>Total power loss in 3 cables in kW</t>
  </si>
  <si>
    <t>*For flat formation 'd' as shown in figure is the distance between the cables</t>
  </si>
  <si>
    <t>Total length of cable(s)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</si>
</sst>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413]\ #,##0.00"/>
    <numFmt numFmtId="165" formatCode="[$€-413]\ #,##0.00;[Red][$€-413]\ #,##0.00"/>
    <numFmt numFmtId="166" formatCode="[$€-413]\ #,##0"/>
    <numFmt numFmtId="167" formatCode="_ [$€-2]\ * #,##0.00_ ;_ [$€-2]\ * \-#,##0.00_ ;_ [$€-2]\ * &quot;-&quot;??_ ;_ @_ 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rgb="FF7F7F7F"/>
      <name val="Calibri"/>
      <family val="2"/>
      <scheme val="minor"/>
    </font>
    <font>
      <b/>
      <i/>
      <sz val="12"/>
      <color rgb="FF7F7F7F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666666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0" xfId="1"/>
    <xf numFmtId="0" fontId="5" fillId="0" borderId="0" xfId="1" applyFont="1" applyAlignment="1">
      <alignment wrapText="1"/>
    </xf>
    <xf numFmtId="0" fontId="1" fillId="4" borderId="0" xfId="0" applyFont="1" applyFill="1"/>
    <xf numFmtId="0" fontId="0" fillId="4" borderId="0" xfId="0" applyFill="1"/>
    <xf numFmtId="164" fontId="3" fillId="4" borderId="0" xfId="0" applyNumberFormat="1" applyFont="1" applyFill="1"/>
    <xf numFmtId="0" fontId="3" fillId="2" borderId="0" xfId="0" applyFont="1" applyFill="1"/>
    <xf numFmtId="165" fontId="3" fillId="4" borderId="0" xfId="0" applyNumberFormat="1" applyFont="1" applyFill="1"/>
    <xf numFmtId="11" fontId="3" fillId="2" borderId="0" xfId="0" applyNumberFormat="1" applyFont="1" applyFill="1"/>
    <xf numFmtId="0" fontId="9" fillId="0" borderId="0" xfId="0" applyFont="1" applyAlignment="1">
      <alignment horizontal="left"/>
    </xf>
    <xf numFmtId="0" fontId="3" fillId="7" borderId="9" xfId="0" applyFont="1" applyFill="1" applyBorder="1" applyAlignment="1">
      <alignment horizontal="left"/>
    </xf>
    <xf numFmtId="0" fontId="3" fillId="7" borderId="3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4" borderId="6" xfId="0" applyFont="1" applyFill="1" applyBorder="1"/>
    <xf numFmtId="0" fontId="0" fillId="0" borderId="7" xfId="0" applyBorder="1"/>
    <xf numFmtId="0" fontId="0" fillId="5" borderId="1" xfId="0" applyFill="1" applyBorder="1"/>
    <xf numFmtId="0" fontId="0" fillId="5" borderId="2" xfId="0" applyFill="1" applyBorder="1"/>
    <xf numFmtId="0" fontId="3" fillId="5" borderId="2" xfId="0" applyFont="1" applyFill="1" applyBorder="1"/>
    <xf numFmtId="0" fontId="0" fillId="0" borderId="1" xfId="0" applyBorder="1"/>
    <xf numFmtId="167" fontId="0" fillId="0" borderId="2" xfId="0" applyNumberFormat="1" applyBorder="1" applyAlignment="1">
      <alignment horizontal="left"/>
    </xf>
    <xf numFmtId="0" fontId="0" fillId="0" borderId="3" xfId="0" applyBorder="1"/>
    <xf numFmtId="167" fontId="0" fillId="0" borderId="4" xfId="0" applyNumberFormat="1" applyBorder="1" applyAlignment="1">
      <alignment horizontal="left"/>
    </xf>
    <xf numFmtId="0" fontId="6" fillId="0" borderId="0" xfId="1" applyFont="1" applyAlignment="1" applyProtection="1">
      <alignment horizontal="left" wrapText="1"/>
    </xf>
    <xf numFmtId="0" fontId="1" fillId="3" borderId="0" xfId="0" applyFont="1" applyFill="1"/>
    <xf numFmtId="0" fontId="1" fillId="3" borderId="0" xfId="0" quotePrefix="1" applyFont="1" applyFill="1"/>
    <xf numFmtId="0" fontId="1" fillId="2" borderId="0" xfId="0" applyFont="1" applyFill="1"/>
    <xf numFmtId="164" fontId="1" fillId="2" borderId="0" xfId="0" applyNumberFormat="1" applyFont="1" applyFill="1"/>
    <xf numFmtId="166" fontId="3" fillId="2" borderId="0" xfId="0" applyNumberFormat="1" applyFont="1" applyFill="1"/>
    <xf numFmtId="0" fontId="1" fillId="4" borderId="0" xfId="0" applyFont="1" applyFill="1" applyAlignment="1">
      <alignment wrapText="1"/>
    </xf>
    <xf numFmtId="164" fontId="3" fillId="2" borderId="0" xfId="0" applyNumberFormat="1" applyFont="1" applyFill="1"/>
    <xf numFmtId="0" fontId="2" fillId="0" borderId="0" xfId="1" applyAlignment="1" applyProtection="1">
      <alignment wrapText="1"/>
    </xf>
    <xf numFmtId="0" fontId="10" fillId="6" borderId="5" xfId="0" applyFont="1" applyFill="1" applyBorder="1" applyProtection="1">
      <protection locked="0"/>
    </xf>
    <xf numFmtId="0" fontId="10" fillId="6" borderId="5" xfId="0" quotePrefix="1" applyFont="1" applyFill="1" applyBorder="1" applyProtection="1">
      <protection locked="0"/>
    </xf>
    <xf numFmtId="164" fontId="10" fillId="6" borderId="5" xfId="0" applyNumberFormat="1" applyFont="1" applyFill="1" applyBorder="1" applyProtection="1">
      <protection locked="0"/>
    </xf>
    <xf numFmtId="0" fontId="10" fillId="6" borderId="8" xfId="0" applyFont="1" applyFill="1" applyBorder="1" applyProtection="1">
      <protection locked="0"/>
    </xf>
    <xf numFmtId="0" fontId="11" fillId="6" borderId="10" xfId="0" applyFont="1" applyFill="1" applyBorder="1" applyAlignment="1" applyProtection="1">
      <alignment horizontal="left"/>
      <protection locked="0"/>
    </xf>
    <xf numFmtId="0" fontId="11" fillId="6" borderId="11" xfId="0" applyFont="1" applyFill="1" applyBorder="1" applyAlignment="1" applyProtection="1">
      <alignment horizontal="left"/>
      <protection locked="0"/>
    </xf>
    <xf numFmtId="0" fontId="0" fillId="0" borderId="6" xfId="0" applyBorder="1"/>
    <xf numFmtId="167" fontId="0" fillId="0" borderId="2" xfId="0" applyNumberFormat="1" applyBorder="1"/>
    <xf numFmtId="0" fontId="3" fillId="5" borderId="7" xfId="0" applyFont="1" applyFill="1" applyBorder="1"/>
    <xf numFmtId="167" fontId="0" fillId="0" borderId="4" xfId="0" applyNumberFormat="1" applyBorder="1"/>
  </cellXfs>
  <cellStyles count="2">
    <cellStyle name="Standaard" xfId="0" builtinId="0"/>
    <cellStyle name="Verklarende tekst" xfId="1" builtinId="53"/>
  </cellStyles>
  <dxfs count="30">
    <dxf>
      <numFmt numFmtId="0" formatCode="General"/>
    </dxf>
    <dxf>
      <protection locked="1"/>
    </dxf>
    <dxf>
      <numFmt numFmtId="0" formatCode="General"/>
    </dxf>
    <dxf>
      <fill>
        <patternFill patternType="solid">
          <fgColor rgb="FFFFFF00"/>
          <bgColor rgb="FF000000"/>
        </patternFill>
      </fill>
    </dxf>
    <dxf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numFmt numFmtId="0" formatCode="General"/>
    </dxf>
    <dxf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numFmt numFmtId="0" formatCode="General"/>
    </dxf>
    <dxf>
      <fill>
        <patternFill patternType="solid">
          <fgColor rgb="FFFFFF00"/>
          <bgColor rgb="FF000000"/>
        </patternFill>
      </fill>
    </dxf>
    <dxf>
      <protection locked="1"/>
    </dxf>
    <dxf>
      <numFmt numFmtId="0" formatCode="General"/>
    </dxf>
    <dxf>
      <numFmt numFmtId="0" formatCode="General"/>
    </dxf>
    <dxf>
      <fill>
        <patternFill patternType="solid">
          <fgColor rgb="FFFFFF00"/>
          <bgColor rgb="FF000000"/>
        </patternFill>
      </fill>
    </dxf>
    <dxf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font>
        <strike val="0"/>
        <outline val="0"/>
        <shadow val="0"/>
        <u val="none"/>
        <vertAlign val="baseline"/>
        <sz val="14"/>
        <color rgb="FF000000"/>
        <name val="Calibri"/>
        <family val="2"/>
        <scheme val="minor"/>
      </font>
      <fill>
        <patternFill patternType="solid">
          <fgColor indexed="64"/>
          <bgColor rgb="FFFFF2CC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protection locked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2423160</xdr:colOff>
      <xdr:row>5</xdr:row>
      <xdr:rowOff>34290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2">
              <a:extLst>
                <a:ext uri="{FF2B5EF4-FFF2-40B4-BE49-F238E27FC236}">
                  <a16:creationId xmlns:a16="http://schemas.microsoft.com/office/drawing/2014/main" id="{20CE985B-FB04-47D6-9318-20BCF0C6E1A3}"/>
                </a:ext>
              </a:extLst>
            </xdr:cNvPr>
            <xdr:cNvSpPr txBox="1"/>
          </xdr:nvSpPr>
          <xdr:spPr>
            <a:xfrm>
              <a:off x="2423160" y="121539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8E761A8-2199-ABCE-8EA1-34AECEC40BDF}"/>
                </a:ext>
              </a:extLst>
            </xdr:cNvPr>
            <xdr:cNvSpPr txBox="1"/>
          </xdr:nvSpPr>
          <xdr:spPr>
            <a:xfrm>
              <a:off x="2423160" y="122301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oneCellAnchor>
    <xdr:from>
      <xdr:col>1</xdr:col>
      <xdr:colOff>2247900</xdr:colOff>
      <xdr:row>6</xdr:row>
      <xdr:rowOff>60960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>
              <a:extLst>
                <a:ext uri="{FF2B5EF4-FFF2-40B4-BE49-F238E27FC236}">
                  <a16:creationId xmlns:a16="http://schemas.microsoft.com/office/drawing/2014/main" id="{478A2761-C40E-4475-806C-67078D948B75}"/>
                </a:ext>
                <a:ext uri="{147F2762-F138-4A5C-976F-8EAC2B608ADB}">
                  <a16:predDERef xmlns:a16="http://schemas.microsoft.com/office/drawing/2014/main" pred="{20CE985B-FB04-47D6-9318-20BCF0C6E1A3}"/>
                </a:ext>
              </a:extLst>
            </xdr:cNvPr>
            <xdr:cNvSpPr txBox="1"/>
          </xdr:nvSpPr>
          <xdr:spPr>
            <a:xfrm>
              <a:off x="2247900" y="147066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A854C7B-2877-418F-A521-7E4BF0AA8DCD}"/>
                </a:ext>
              </a:extLst>
            </xdr:cNvPr>
            <xdr:cNvSpPr txBox="1"/>
          </xdr:nvSpPr>
          <xdr:spPr>
            <a:xfrm>
              <a:off x="2247900" y="147828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oneCellAnchor>
    <xdr:from>
      <xdr:col>1</xdr:col>
      <xdr:colOff>2423160</xdr:colOff>
      <xdr:row>5</xdr:row>
      <xdr:rowOff>34290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10">
              <a:extLst>
                <a:ext uri="{FF2B5EF4-FFF2-40B4-BE49-F238E27FC236}">
                  <a16:creationId xmlns:a16="http://schemas.microsoft.com/office/drawing/2014/main" id="{5F899E46-84AE-4C7E-BA01-886D6145A094}"/>
                </a:ext>
                <a:ext uri="{147F2762-F138-4A5C-976F-8EAC2B608ADB}">
                  <a16:predDERef xmlns:a16="http://schemas.microsoft.com/office/drawing/2014/main" pred="{478A2761-C40E-4475-806C-67078D948B75}"/>
                </a:ext>
              </a:extLst>
            </xdr:cNvPr>
            <xdr:cNvSpPr txBox="1"/>
          </xdr:nvSpPr>
          <xdr:spPr>
            <a:xfrm>
              <a:off x="2423160" y="121539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DD89673C-DBC0-4515-AC81-FC725296BA1F}"/>
                </a:ext>
              </a:extLst>
            </xdr:cNvPr>
            <xdr:cNvSpPr txBox="1"/>
          </xdr:nvSpPr>
          <xdr:spPr>
            <a:xfrm>
              <a:off x="2423160" y="122301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oneCellAnchor>
    <xdr:from>
      <xdr:col>1</xdr:col>
      <xdr:colOff>2247900</xdr:colOff>
      <xdr:row>6</xdr:row>
      <xdr:rowOff>60960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11">
              <a:extLst>
                <a:ext uri="{FF2B5EF4-FFF2-40B4-BE49-F238E27FC236}">
                  <a16:creationId xmlns:a16="http://schemas.microsoft.com/office/drawing/2014/main" id="{47C5460F-BB31-4E80-AE7F-C9C3A27DEC64}"/>
                </a:ext>
                <a:ext uri="{147F2762-F138-4A5C-976F-8EAC2B608ADB}">
                  <a16:predDERef xmlns:a16="http://schemas.microsoft.com/office/drawing/2014/main" pred="{5F899E46-84AE-4C7E-BA01-886D6145A094}"/>
                </a:ext>
              </a:extLst>
            </xdr:cNvPr>
            <xdr:cNvSpPr txBox="1"/>
          </xdr:nvSpPr>
          <xdr:spPr>
            <a:xfrm>
              <a:off x="2247900" y="147066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C5B7A6A5-9677-4A1F-BFBA-F4B2F3D3F65E}"/>
                </a:ext>
              </a:extLst>
            </xdr:cNvPr>
            <xdr:cNvSpPr txBox="1"/>
          </xdr:nvSpPr>
          <xdr:spPr>
            <a:xfrm>
              <a:off x="2247900" y="147828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oneCellAnchor>
    <xdr:from>
      <xdr:col>1</xdr:col>
      <xdr:colOff>2423160</xdr:colOff>
      <xdr:row>5</xdr:row>
      <xdr:rowOff>34290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2">
              <a:extLst>
                <a:ext uri="{FF2B5EF4-FFF2-40B4-BE49-F238E27FC236}">
                  <a16:creationId xmlns:a16="http://schemas.microsoft.com/office/drawing/2014/main" id="{ACB7C359-B57D-4D78-832F-7C17B69B1D1D}"/>
                </a:ext>
                <a:ext uri="{147F2762-F138-4A5C-976F-8EAC2B608ADB}">
                  <a16:predDERef xmlns:a16="http://schemas.microsoft.com/office/drawing/2014/main" pred="{42D97925-978E-4FF5-81BE-DF5963FBDEB8}"/>
                </a:ext>
              </a:extLst>
            </xdr:cNvPr>
            <xdr:cNvSpPr txBox="1"/>
          </xdr:nvSpPr>
          <xdr:spPr>
            <a:xfrm>
              <a:off x="2423160" y="121539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8E761A8-2199-ABCE-8EA1-34AECEC40BDF}"/>
                </a:ext>
              </a:extLst>
            </xdr:cNvPr>
            <xdr:cNvSpPr txBox="1"/>
          </xdr:nvSpPr>
          <xdr:spPr>
            <a:xfrm>
              <a:off x="2423160" y="122301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oneCellAnchor>
    <xdr:from>
      <xdr:col>1</xdr:col>
      <xdr:colOff>2247900</xdr:colOff>
      <xdr:row>6</xdr:row>
      <xdr:rowOff>60960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3">
              <a:extLst>
                <a:ext uri="{FF2B5EF4-FFF2-40B4-BE49-F238E27FC236}">
                  <a16:creationId xmlns:a16="http://schemas.microsoft.com/office/drawing/2014/main" id="{29463248-0D59-4FF5-83A5-61C0FFE80F99}"/>
                </a:ext>
                <a:ext uri="{147F2762-F138-4A5C-976F-8EAC2B608ADB}">
                  <a16:predDERef xmlns:a16="http://schemas.microsoft.com/office/drawing/2014/main" pred="{ACB7C359-B57D-4D78-832F-7C17B69B1D1D}"/>
                </a:ext>
              </a:extLst>
            </xdr:cNvPr>
            <xdr:cNvSpPr txBox="1"/>
          </xdr:nvSpPr>
          <xdr:spPr>
            <a:xfrm>
              <a:off x="2247900" y="147066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A854C7B-2877-418F-A521-7E4BF0AA8DCD}"/>
                </a:ext>
              </a:extLst>
            </xdr:cNvPr>
            <xdr:cNvSpPr txBox="1"/>
          </xdr:nvSpPr>
          <xdr:spPr>
            <a:xfrm>
              <a:off x="2247900" y="147828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oneCellAnchor>
    <xdr:from>
      <xdr:col>1</xdr:col>
      <xdr:colOff>2423160</xdr:colOff>
      <xdr:row>5</xdr:row>
      <xdr:rowOff>34290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10">
              <a:extLst>
                <a:ext uri="{FF2B5EF4-FFF2-40B4-BE49-F238E27FC236}">
                  <a16:creationId xmlns:a16="http://schemas.microsoft.com/office/drawing/2014/main" id="{39D027BD-E58C-4554-946E-060517388149}"/>
                </a:ext>
                <a:ext uri="{147F2762-F138-4A5C-976F-8EAC2B608ADB}">
                  <a16:predDERef xmlns:a16="http://schemas.microsoft.com/office/drawing/2014/main" pred="{29463248-0D59-4FF5-83A5-61C0FFE80F99}"/>
                </a:ext>
              </a:extLst>
            </xdr:cNvPr>
            <xdr:cNvSpPr txBox="1"/>
          </xdr:nvSpPr>
          <xdr:spPr>
            <a:xfrm>
              <a:off x="2423160" y="121539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DD89673C-DBC0-4515-AC81-FC725296BA1F}"/>
                </a:ext>
              </a:extLst>
            </xdr:cNvPr>
            <xdr:cNvSpPr txBox="1"/>
          </xdr:nvSpPr>
          <xdr:spPr>
            <a:xfrm>
              <a:off x="2423160" y="122301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oneCellAnchor>
    <xdr:from>
      <xdr:col>1</xdr:col>
      <xdr:colOff>2247900</xdr:colOff>
      <xdr:row>6</xdr:row>
      <xdr:rowOff>60960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11">
              <a:extLst>
                <a:ext uri="{FF2B5EF4-FFF2-40B4-BE49-F238E27FC236}">
                  <a16:creationId xmlns:a16="http://schemas.microsoft.com/office/drawing/2014/main" id="{C3680B8E-EB3A-45CD-939D-AD7EE88E77B2}"/>
                </a:ext>
                <a:ext uri="{147F2762-F138-4A5C-976F-8EAC2B608ADB}">
                  <a16:predDERef xmlns:a16="http://schemas.microsoft.com/office/drawing/2014/main" pred="{39D027BD-E58C-4554-946E-060517388149}"/>
                </a:ext>
              </a:extLst>
            </xdr:cNvPr>
            <xdr:cNvSpPr txBox="1"/>
          </xdr:nvSpPr>
          <xdr:spPr>
            <a:xfrm>
              <a:off x="2247900" y="147066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C5B7A6A5-9677-4A1F-BFBA-F4B2F3D3F65E}"/>
                </a:ext>
              </a:extLst>
            </xdr:cNvPr>
            <xdr:cNvSpPr txBox="1"/>
          </xdr:nvSpPr>
          <xdr:spPr>
            <a:xfrm>
              <a:off x="2247900" y="147828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twoCellAnchor editAs="oneCell">
    <xdr:from>
      <xdr:col>8</xdr:col>
      <xdr:colOff>0</xdr:colOff>
      <xdr:row>4</xdr:row>
      <xdr:rowOff>85725</xdr:rowOff>
    </xdr:from>
    <xdr:to>
      <xdr:col>14</xdr:col>
      <xdr:colOff>133350</xdr:colOff>
      <xdr:row>11</xdr:row>
      <xdr:rowOff>47625</xdr:rowOff>
    </xdr:to>
    <xdr:pic>
      <xdr:nvPicPr>
        <xdr:cNvPr id="19" name="Afbeelding 5">
          <a:extLst>
            <a:ext uri="{FF2B5EF4-FFF2-40B4-BE49-F238E27FC236}">
              <a16:creationId xmlns:a16="http://schemas.microsoft.com/office/drawing/2014/main" id="{F60466F2-FFC6-4DB5-9786-8E2FB9C326E7}"/>
            </a:ext>
            <a:ext uri="{147F2762-F138-4A5C-976F-8EAC2B608ADB}">
              <a16:predDERef xmlns:a16="http://schemas.microsoft.com/office/drawing/2014/main" pred="{C3680B8E-EB3A-45CD-939D-AD7EE88E7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76825" y="1038225"/>
          <a:ext cx="3790950" cy="1695450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352425</xdr:colOff>
      <xdr:row>11</xdr:row>
      <xdr:rowOff>228600</xdr:rowOff>
    </xdr:from>
    <xdr:to>
      <xdr:col>12</xdr:col>
      <xdr:colOff>400050</xdr:colOff>
      <xdr:row>20</xdr:row>
      <xdr:rowOff>76200</xdr:rowOff>
    </xdr:to>
    <xdr:pic>
      <xdr:nvPicPr>
        <xdr:cNvPr id="20" name="Afbeelding 10">
          <a:extLst>
            <a:ext uri="{FF2B5EF4-FFF2-40B4-BE49-F238E27FC236}">
              <a16:creationId xmlns:a16="http://schemas.microsoft.com/office/drawing/2014/main" id="{DE473514-4F77-4138-ADBD-4AD41AD499C6}"/>
            </a:ext>
            <a:ext uri="{147F2762-F138-4A5C-976F-8EAC2B608ADB}">
              <a16:predDERef xmlns:a16="http://schemas.microsoft.com/office/drawing/2014/main" pred="{F60466F2-FFC6-4DB5-9786-8E2FB9C32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15875" y="2847975"/>
          <a:ext cx="1876425" cy="1771650"/>
        </a:xfrm>
        <a:prstGeom prst="rect">
          <a:avLst/>
        </a:prstGeom>
      </xdr:spPr>
    </xdr:pic>
    <xdr:clientData/>
  </xdr:twoCellAnchor>
  <xdr:twoCellAnchor>
    <xdr:from>
      <xdr:col>10</xdr:col>
      <xdr:colOff>247650</xdr:colOff>
      <xdr:row>17</xdr:row>
      <xdr:rowOff>190500</xdr:rowOff>
    </xdr:from>
    <xdr:to>
      <xdr:col>11</xdr:col>
      <xdr:colOff>409575</xdr:colOff>
      <xdr:row>17</xdr:row>
      <xdr:rowOff>200025</xdr:rowOff>
    </xdr:to>
    <xdr:cxnSp macro="">
      <xdr:nvCxnSpPr>
        <xdr:cNvPr id="21" name="Rechte verbindingslijn met pijl 11">
          <a:extLst>
            <a:ext uri="{FF2B5EF4-FFF2-40B4-BE49-F238E27FC236}">
              <a16:creationId xmlns:a16="http://schemas.microsoft.com/office/drawing/2014/main" id="{0EF15122-A223-4ACD-BF46-8DA5BAB8B560}"/>
            </a:ext>
            <a:ext uri="{147F2762-F138-4A5C-976F-8EAC2B608ADB}">
              <a16:predDERef xmlns:a16="http://schemas.microsoft.com/office/drawing/2014/main" pred="{DE473514-4F77-4138-ADBD-4AD41AD499C6}"/>
            </a:ext>
          </a:extLst>
        </xdr:cNvPr>
        <xdr:cNvCxnSpPr>
          <a:cxnSpLocks/>
        </xdr:cNvCxnSpPr>
      </xdr:nvCxnSpPr>
      <xdr:spPr>
        <a:xfrm>
          <a:off x="13220700" y="4143375"/>
          <a:ext cx="771525" cy="9525"/>
        </a:xfrm>
        <a:prstGeom prst="straightConnector1">
          <a:avLst/>
        </a:prstGeom>
        <a:ln w="5715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323850</xdr:colOff>
      <xdr:row>19</xdr:row>
      <xdr:rowOff>66675</xdr:rowOff>
    </xdr:from>
    <xdr:to>
      <xdr:col>11</xdr:col>
      <xdr:colOff>392430</xdr:colOff>
      <xdr:row>19</xdr:row>
      <xdr:rowOff>200025</xdr:rowOff>
    </xdr:to>
    <xdr:sp macro="" textlink="">
      <xdr:nvSpPr>
        <xdr:cNvPr id="22" name="Tekstvak 12">
          <a:extLst>
            <a:ext uri="{FF2B5EF4-FFF2-40B4-BE49-F238E27FC236}">
              <a16:creationId xmlns:a16="http://schemas.microsoft.com/office/drawing/2014/main" id="{50B7C4E3-C580-416F-BBA8-A3E645467B98}"/>
            </a:ext>
            <a:ext uri="{147F2762-F138-4A5C-976F-8EAC2B608ADB}">
              <a16:predDERef xmlns:a16="http://schemas.microsoft.com/office/drawing/2014/main" pred="{0EF15122-A223-4ACD-BF46-8DA5BAB8B560}"/>
            </a:ext>
          </a:extLst>
        </xdr:cNvPr>
        <xdr:cNvSpPr txBox="1"/>
      </xdr:nvSpPr>
      <xdr:spPr>
        <a:xfrm>
          <a:off x="13001625" y="4495800"/>
          <a:ext cx="678180" cy="133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nl-NL" sz="1100" kern="1200"/>
            <a:t>0.093m</a:t>
          </a:r>
        </a:p>
      </xdr:txBody>
    </xdr:sp>
    <xdr:clientData/>
  </xdr:twoCellAnchor>
  <xdr:twoCellAnchor editAs="oneCell">
    <xdr:from>
      <xdr:col>14</xdr:col>
      <xdr:colOff>219075</xdr:colOff>
      <xdr:row>14</xdr:row>
      <xdr:rowOff>95250</xdr:rowOff>
    </xdr:from>
    <xdr:to>
      <xdr:col>18</xdr:col>
      <xdr:colOff>323850</xdr:colOff>
      <xdr:row>18</xdr:row>
      <xdr:rowOff>152400</xdr:rowOff>
    </xdr:to>
    <xdr:pic>
      <xdr:nvPicPr>
        <xdr:cNvPr id="23" name="Afbeelding 13">
          <a:extLst>
            <a:ext uri="{FF2B5EF4-FFF2-40B4-BE49-F238E27FC236}">
              <a16:creationId xmlns:a16="http://schemas.microsoft.com/office/drawing/2014/main" id="{7F81966D-2F01-45E7-A1E1-E6D146B055A5}"/>
            </a:ext>
            <a:ext uri="{147F2762-F138-4A5C-976F-8EAC2B608ADB}">
              <a16:predDERef xmlns:a16="http://schemas.microsoft.com/office/drawing/2014/main" pred="{50B7C4E3-C580-416F-BBA8-A3E645467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24975" y="3381375"/>
          <a:ext cx="2543175" cy="885825"/>
        </a:xfrm>
        <a:prstGeom prst="rect">
          <a:avLst/>
        </a:prstGeom>
      </xdr:spPr>
    </xdr:pic>
    <xdr:clientData/>
  </xdr:twoCellAnchor>
  <xdr:twoCellAnchor editAs="oneCell">
    <xdr:from>
      <xdr:col>14</xdr:col>
      <xdr:colOff>104775</xdr:colOff>
      <xdr:row>5</xdr:row>
      <xdr:rowOff>190500</xdr:rowOff>
    </xdr:from>
    <xdr:to>
      <xdr:col>18</xdr:col>
      <xdr:colOff>266700</xdr:colOff>
      <xdr:row>10</xdr:row>
      <xdr:rowOff>171450</xdr:rowOff>
    </xdr:to>
    <xdr:pic>
      <xdr:nvPicPr>
        <xdr:cNvPr id="24" name="Afbeelding 14">
          <a:extLst>
            <a:ext uri="{FF2B5EF4-FFF2-40B4-BE49-F238E27FC236}">
              <a16:creationId xmlns:a16="http://schemas.microsoft.com/office/drawing/2014/main" id="{7E010D00-E3F8-40E0-9E8B-0C03361D0C27}"/>
            </a:ext>
            <a:ext uri="{147F2762-F138-4A5C-976F-8EAC2B608ADB}">
              <a16:predDERef xmlns:a16="http://schemas.microsoft.com/office/drawing/2014/main" pred="{7F81966D-2F01-45E7-A1E1-E6D146B055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9117"/>
        <a:stretch/>
      </xdr:blipFill>
      <xdr:spPr>
        <a:xfrm>
          <a:off x="9210675" y="1381125"/>
          <a:ext cx="2600325" cy="1219200"/>
        </a:xfrm>
        <a:prstGeom prst="rect">
          <a:avLst/>
        </a:prstGeom>
      </xdr:spPr>
    </xdr:pic>
    <xdr:clientData/>
  </xdr:twoCellAnchor>
  <xdr:twoCellAnchor editAs="oneCell">
    <xdr:from>
      <xdr:col>19</xdr:col>
      <xdr:colOff>304800</xdr:colOff>
      <xdr:row>5</xdr:row>
      <xdr:rowOff>85725</xdr:rowOff>
    </xdr:from>
    <xdr:to>
      <xdr:col>23</xdr:col>
      <xdr:colOff>400050</xdr:colOff>
      <xdr:row>10</xdr:row>
      <xdr:rowOff>133350</xdr:rowOff>
    </xdr:to>
    <xdr:pic>
      <xdr:nvPicPr>
        <xdr:cNvPr id="25" name="Afbeelding 15">
          <a:extLst>
            <a:ext uri="{FF2B5EF4-FFF2-40B4-BE49-F238E27FC236}">
              <a16:creationId xmlns:a16="http://schemas.microsoft.com/office/drawing/2014/main" id="{F6298860-3462-4352-8BA1-78F55252119C}"/>
            </a:ext>
            <a:ext uri="{147F2762-F138-4A5C-976F-8EAC2B608ADB}">
              <a16:predDERef xmlns:a16="http://schemas.microsoft.com/office/drawing/2014/main" pred="{7E010D00-E3F8-40E0-9E8B-0C03361D0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58700" y="1276350"/>
          <a:ext cx="2533650" cy="1285875"/>
        </a:xfrm>
        <a:prstGeom prst="rect">
          <a:avLst/>
        </a:prstGeom>
      </xdr:spPr>
    </xdr:pic>
    <xdr:clientData/>
  </xdr:twoCellAnchor>
  <xdr:twoCellAnchor editAs="oneCell">
    <xdr:from>
      <xdr:col>19</xdr:col>
      <xdr:colOff>352425</xdr:colOff>
      <xdr:row>14</xdr:row>
      <xdr:rowOff>95250</xdr:rowOff>
    </xdr:from>
    <xdr:to>
      <xdr:col>23</xdr:col>
      <xdr:colOff>457200</xdr:colOff>
      <xdr:row>18</xdr:row>
      <xdr:rowOff>152400</xdr:rowOff>
    </xdr:to>
    <xdr:pic>
      <xdr:nvPicPr>
        <xdr:cNvPr id="26" name="Afbeelding 17">
          <a:extLst>
            <a:ext uri="{FF2B5EF4-FFF2-40B4-BE49-F238E27FC236}">
              <a16:creationId xmlns:a16="http://schemas.microsoft.com/office/drawing/2014/main" id="{0C25BB89-7A44-4496-AD7B-CCFD9B50FDAA}"/>
            </a:ext>
            <a:ext uri="{147F2762-F138-4A5C-976F-8EAC2B608ADB}">
              <a16:predDERef xmlns:a16="http://schemas.microsoft.com/office/drawing/2014/main" pred="{F6298860-3462-4352-8BA1-78F552521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06325" y="3381375"/>
          <a:ext cx="2543175" cy="885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0</xdr:row>
      <xdr:rowOff>22860</xdr:rowOff>
    </xdr:from>
    <xdr:to>
      <xdr:col>2</xdr:col>
      <xdr:colOff>3383280</xdr:colOff>
      <xdr:row>12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F9EB2E-EA9C-DAF8-5DB7-84BC344EF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0" y="22860"/>
          <a:ext cx="2941320" cy="2788920"/>
        </a:xfrm>
        <a:prstGeom prst="rect">
          <a:avLst/>
        </a:prstGeom>
      </xdr:spPr>
    </xdr:pic>
    <xdr:clientData/>
  </xdr:twoCellAnchor>
  <xdr:oneCellAnchor>
    <xdr:from>
      <xdr:col>0</xdr:col>
      <xdr:colOff>2423160</xdr:colOff>
      <xdr:row>5</xdr:row>
      <xdr:rowOff>34290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8E761A8-2199-ABCE-8EA1-34AECEC40BDF}"/>
                </a:ext>
              </a:extLst>
            </xdr:cNvPr>
            <xdr:cNvSpPr txBox="1"/>
          </xdr:nvSpPr>
          <xdr:spPr>
            <a:xfrm>
              <a:off x="2423160" y="122301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8E761A8-2199-ABCE-8EA1-34AECEC40BDF}"/>
                </a:ext>
              </a:extLst>
            </xdr:cNvPr>
            <xdr:cNvSpPr txBox="1"/>
          </xdr:nvSpPr>
          <xdr:spPr>
            <a:xfrm>
              <a:off x="2423160" y="122301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oneCellAnchor>
    <xdr:from>
      <xdr:col>0</xdr:col>
      <xdr:colOff>2247900</xdr:colOff>
      <xdr:row>6</xdr:row>
      <xdr:rowOff>60960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A854C7B-2877-418F-A521-7E4BF0AA8DCD}"/>
                </a:ext>
              </a:extLst>
            </xdr:cNvPr>
            <xdr:cNvSpPr txBox="1"/>
          </xdr:nvSpPr>
          <xdr:spPr>
            <a:xfrm>
              <a:off x="2247900" y="147828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A854C7B-2877-418F-A521-7E4BF0AA8DCD}"/>
                </a:ext>
              </a:extLst>
            </xdr:cNvPr>
            <xdr:cNvSpPr txBox="1"/>
          </xdr:nvSpPr>
          <xdr:spPr>
            <a:xfrm>
              <a:off x="2247900" y="147828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twoCellAnchor>
    <xdr:from>
      <xdr:col>2</xdr:col>
      <xdr:colOff>1165860</xdr:colOff>
      <xdr:row>8</xdr:row>
      <xdr:rowOff>171450</xdr:rowOff>
    </xdr:from>
    <xdr:to>
      <xdr:col>2</xdr:col>
      <xdr:colOff>2560320</xdr:colOff>
      <xdr:row>8</xdr:row>
      <xdr:rowOff>171450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BEC858C-A24B-F0CB-0CD5-8C2FA4D38F6F}"/>
            </a:ext>
            <a:ext uri="{147F2762-F138-4A5C-976F-8EAC2B608ADB}">
              <a16:predDERef xmlns:a16="http://schemas.microsoft.com/office/drawing/2014/main" pred="{DA854C7B-2877-418F-A521-7E4BF0AA8DCD}"/>
            </a:ext>
          </a:extLst>
        </xdr:cNvPr>
        <xdr:cNvCxnSpPr/>
      </xdr:nvCxnSpPr>
      <xdr:spPr>
        <a:xfrm>
          <a:off x="6156960" y="2038350"/>
          <a:ext cx="1394460" cy="0"/>
        </a:xfrm>
        <a:prstGeom prst="straightConnector1">
          <a:avLst/>
        </a:prstGeom>
        <a:ln w="5715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1577340</xdr:colOff>
      <xdr:row>8</xdr:row>
      <xdr:rowOff>182880</xdr:rowOff>
    </xdr:from>
    <xdr:to>
      <xdr:col>2</xdr:col>
      <xdr:colOff>2255520</xdr:colOff>
      <xdr:row>10</xdr:row>
      <xdr:rowOff>30480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F851361-9FFA-25F7-6EC1-59C928D438D1}"/>
            </a:ext>
          </a:extLst>
        </xdr:cNvPr>
        <xdr:cNvSpPr txBox="1"/>
      </xdr:nvSpPr>
      <xdr:spPr>
        <a:xfrm>
          <a:off x="6469380" y="2057400"/>
          <a:ext cx="67818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kern="1200"/>
            <a:t>0.093m</a:t>
          </a:r>
        </a:p>
      </xdr:txBody>
    </xdr:sp>
    <xdr:clientData/>
  </xdr:twoCellAnchor>
  <xdr:oneCellAnchor>
    <xdr:from>
      <xdr:col>0</xdr:col>
      <xdr:colOff>2423160</xdr:colOff>
      <xdr:row>5</xdr:row>
      <xdr:rowOff>34290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DD89673C-DBC0-4515-AC81-FC725296BA1F}"/>
                </a:ext>
              </a:extLst>
            </xdr:cNvPr>
            <xdr:cNvSpPr txBox="1"/>
          </xdr:nvSpPr>
          <xdr:spPr>
            <a:xfrm>
              <a:off x="2423160" y="122301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DD89673C-DBC0-4515-AC81-FC725296BA1F}"/>
                </a:ext>
              </a:extLst>
            </xdr:cNvPr>
            <xdr:cNvSpPr txBox="1"/>
          </xdr:nvSpPr>
          <xdr:spPr>
            <a:xfrm>
              <a:off x="2423160" y="122301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oneCellAnchor>
    <xdr:from>
      <xdr:col>0</xdr:col>
      <xdr:colOff>2247900</xdr:colOff>
      <xdr:row>6</xdr:row>
      <xdr:rowOff>60960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C5B7A6A5-9677-4A1F-BFBA-F4B2F3D3F65E}"/>
                </a:ext>
              </a:extLst>
            </xdr:cNvPr>
            <xdr:cNvSpPr txBox="1"/>
          </xdr:nvSpPr>
          <xdr:spPr>
            <a:xfrm>
              <a:off x="2247900" y="147828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C5B7A6A5-9677-4A1F-BFBA-F4B2F3D3F65E}"/>
                </a:ext>
              </a:extLst>
            </xdr:cNvPr>
            <xdr:cNvSpPr txBox="1"/>
          </xdr:nvSpPr>
          <xdr:spPr>
            <a:xfrm>
              <a:off x="2247900" y="147828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twoCellAnchor editAs="oneCell">
    <xdr:from>
      <xdr:col>2</xdr:col>
      <xdr:colOff>3634740</xdr:colOff>
      <xdr:row>1</xdr:row>
      <xdr:rowOff>7620</xdr:rowOff>
    </xdr:from>
    <xdr:to>
      <xdr:col>6</xdr:col>
      <xdr:colOff>944881</xdr:colOff>
      <xdr:row>11</xdr:row>
      <xdr:rowOff>99060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2883FBD-9EE4-58BC-F82B-80F52E669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0" y="281940"/>
          <a:ext cx="5547361" cy="2377440"/>
        </a:xfrm>
        <a:prstGeom prst="rect">
          <a:avLst/>
        </a:prstGeom>
      </xdr:spPr>
    </xdr:pic>
    <xdr:clientData/>
  </xdr:twoCellAnchor>
  <xdr:twoCellAnchor>
    <xdr:from>
      <xdr:col>3</xdr:col>
      <xdr:colOff>320040</xdr:colOff>
      <xdr:row>9</xdr:row>
      <xdr:rowOff>0</xdr:rowOff>
    </xdr:from>
    <xdr:to>
      <xdr:col>6</xdr:col>
      <xdr:colOff>106680</xdr:colOff>
      <xdr:row>9</xdr:row>
      <xdr:rowOff>0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98ADA1EB-F071-E644-33B7-26E02160D356}"/>
            </a:ext>
          </a:extLst>
        </xdr:cNvPr>
        <xdr:cNvCxnSpPr/>
      </xdr:nvCxnSpPr>
      <xdr:spPr>
        <a:xfrm>
          <a:off x="9532620" y="2103120"/>
          <a:ext cx="3939540" cy="0"/>
        </a:xfrm>
        <a:prstGeom prst="straightConnector1">
          <a:avLst/>
        </a:prstGeom>
        <a:ln w="381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30480</xdr:colOff>
      <xdr:row>9</xdr:row>
      <xdr:rowOff>68580</xdr:rowOff>
    </xdr:from>
    <xdr:to>
      <xdr:col>5</xdr:col>
      <xdr:colOff>312420</xdr:colOff>
      <xdr:row>10</xdr:row>
      <xdr:rowOff>137160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0CAEE07-9227-4844-9F29-8F101B8E71A3}"/>
            </a:ext>
          </a:extLst>
        </xdr:cNvPr>
        <xdr:cNvSpPr txBox="1"/>
      </xdr:nvSpPr>
      <xdr:spPr>
        <a:xfrm>
          <a:off x="11132820" y="2171700"/>
          <a:ext cx="891540" cy="297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kern="1200"/>
            <a:t>Length</a:t>
          </a:r>
          <a:r>
            <a:rPr lang="nl-NL" sz="1100" kern="1200" baseline="0"/>
            <a:t> (m)</a:t>
          </a:r>
          <a:endParaRPr lang="nl-NL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2423160</xdr:colOff>
      <xdr:row>5</xdr:row>
      <xdr:rowOff>34290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9D1A2BB-5587-407D-986D-FBC705125996}"/>
                </a:ext>
              </a:extLst>
            </xdr:cNvPr>
            <xdr:cNvSpPr txBox="1"/>
          </xdr:nvSpPr>
          <xdr:spPr>
            <a:xfrm>
              <a:off x="2423160" y="122301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9D1A2BB-5587-407D-986D-FBC705125996}"/>
                </a:ext>
              </a:extLst>
            </xdr:cNvPr>
            <xdr:cNvSpPr txBox="1"/>
          </xdr:nvSpPr>
          <xdr:spPr>
            <a:xfrm>
              <a:off x="2423160" y="122301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oneCellAnchor>
    <xdr:from>
      <xdr:col>0</xdr:col>
      <xdr:colOff>2247900</xdr:colOff>
      <xdr:row>6</xdr:row>
      <xdr:rowOff>60960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00162DE-1F82-4C8A-B2B8-4CE6C38C40B7}"/>
                </a:ext>
              </a:extLst>
            </xdr:cNvPr>
            <xdr:cNvSpPr txBox="1"/>
          </xdr:nvSpPr>
          <xdr:spPr>
            <a:xfrm>
              <a:off x="2247900" y="147828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00162DE-1F82-4C8A-B2B8-4CE6C38C40B7}"/>
                </a:ext>
              </a:extLst>
            </xdr:cNvPr>
            <xdr:cNvSpPr txBox="1"/>
          </xdr:nvSpPr>
          <xdr:spPr>
            <a:xfrm>
              <a:off x="2247900" y="147828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twoCellAnchor editAs="oneCell">
    <xdr:from>
      <xdr:col>3</xdr:col>
      <xdr:colOff>281940</xdr:colOff>
      <xdr:row>2</xdr:row>
      <xdr:rowOff>137160</xdr:rowOff>
    </xdr:from>
    <xdr:to>
      <xdr:col>4</xdr:col>
      <xdr:colOff>102821</xdr:colOff>
      <xdr:row>10</xdr:row>
      <xdr:rowOff>45571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D72D68-B337-2CF6-D2F2-5C6F85BF2A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117"/>
        <a:stretch/>
      </xdr:blipFill>
      <xdr:spPr>
        <a:xfrm>
          <a:off x="6263640" y="594360"/>
          <a:ext cx="4316681" cy="1958340"/>
        </a:xfrm>
        <a:prstGeom prst="rect">
          <a:avLst/>
        </a:prstGeom>
      </xdr:spPr>
    </xdr:pic>
    <xdr:clientData/>
  </xdr:twoCellAnchor>
  <xdr:oneCellAnchor>
    <xdr:from>
      <xdr:col>0</xdr:col>
      <xdr:colOff>2423160</xdr:colOff>
      <xdr:row>5</xdr:row>
      <xdr:rowOff>34290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93254F3A-EA52-4FCC-8EF6-15AF5784DBDC}"/>
                </a:ext>
              </a:extLst>
            </xdr:cNvPr>
            <xdr:cNvSpPr txBox="1"/>
          </xdr:nvSpPr>
          <xdr:spPr>
            <a:xfrm>
              <a:off x="2423160" y="117729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93254F3A-EA52-4FCC-8EF6-15AF5784DBDC}"/>
                </a:ext>
              </a:extLst>
            </xdr:cNvPr>
            <xdr:cNvSpPr txBox="1"/>
          </xdr:nvSpPr>
          <xdr:spPr>
            <a:xfrm>
              <a:off x="2423160" y="117729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oneCellAnchor>
    <xdr:from>
      <xdr:col>0</xdr:col>
      <xdr:colOff>2247900</xdr:colOff>
      <xdr:row>6</xdr:row>
      <xdr:rowOff>60960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4052F0AF-9A1F-48ED-A17F-4A00D9E20776}"/>
                </a:ext>
              </a:extLst>
            </xdr:cNvPr>
            <xdr:cNvSpPr txBox="1"/>
          </xdr:nvSpPr>
          <xdr:spPr>
            <a:xfrm>
              <a:off x="2247900" y="143256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4052F0AF-9A1F-48ED-A17F-4A00D9E20776}"/>
                </a:ext>
              </a:extLst>
            </xdr:cNvPr>
            <xdr:cNvSpPr txBox="1"/>
          </xdr:nvSpPr>
          <xdr:spPr>
            <a:xfrm>
              <a:off x="2247900" y="143256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twoCellAnchor editAs="oneCell">
    <xdr:from>
      <xdr:col>0</xdr:col>
      <xdr:colOff>45720</xdr:colOff>
      <xdr:row>14</xdr:row>
      <xdr:rowOff>65392</xdr:rowOff>
    </xdr:from>
    <xdr:to>
      <xdr:col>2</xdr:col>
      <xdr:colOff>716280</xdr:colOff>
      <xdr:row>39</xdr:row>
      <xdr:rowOff>142870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A0996A-EE93-4AAE-9A8A-7E945CD27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" y="3220072"/>
          <a:ext cx="5532120" cy="1893129"/>
        </a:xfrm>
        <a:prstGeom prst="rect">
          <a:avLst/>
        </a:prstGeom>
      </xdr:spPr>
    </xdr:pic>
    <xdr:clientData/>
  </xdr:twoCellAnchor>
  <xdr:twoCellAnchor>
    <xdr:from>
      <xdr:col>3</xdr:col>
      <xdr:colOff>1455420</xdr:colOff>
      <xdr:row>9</xdr:row>
      <xdr:rowOff>144780</xdr:rowOff>
    </xdr:from>
    <xdr:to>
      <xdr:col>3</xdr:col>
      <xdr:colOff>2964180</xdr:colOff>
      <xdr:row>10</xdr:row>
      <xdr:rowOff>144780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9FF90F9-6E90-3DCE-5E96-884DE539ABE1}"/>
            </a:ext>
          </a:extLst>
        </xdr:cNvPr>
        <xdr:cNvSpPr txBox="1"/>
      </xdr:nvSpPr>
      <xdr:spPr>
        <a:xfrm>
          <a:off x="7437120" y="2202180"/>
          <a:ext cx="150876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kern="1200"/>
            <a:t>Transposition</a:t>
          </a:r>
          <a:r>
            <a:rPr lang="nl-NL" sz="1100" kern="1200" baseline="0"/>
            <a:t> scheme</a:t>
          </a:r>
          <a:endParaRPr lang="nl-NL" sz="1100" kern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2423160</xdr:colOff>
      <xdr:row>5</xdr:row>
      <xdr:rowOff>34290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E4D13DB-8917-42C0-A544-B99A20444C12}"/>
                </a:ext>
              </a:extLst>
            </xdr:cNvPr>
            <xdr:cNvSpPr txBox="1"/>
          </xdr:nvSpPr>
          <xdr:spPr>
            <a:xfrm>
              <a:off x="2423160" y="117729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E4D13DB-8917-42C0-A544-B99A20444C12}"/>
                </a:ext>
              </a:extLst>
            </xdr:cNvPr>
            <xdr:cNvSpPr txBox="1"/>
          </xdr:nvSpPr>
          <xdr:spPr>
            <a:xfrm>
              <a:off x="2423160" y="117729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oneCellAnchor>
    <xdr:from>
      <xdr:col>0</xdr:col>
      <xdr:colOff>2247900</xdr:colOff>
      <xdr:row>6</xdr:row>
      <xdr:rowOff>60960</xdr:rowOff>
    </xdr:from>
    <xdr:ext cx="21794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1D6066D-62CE-4068-89C5-EC3DFE685654}"/>
                </a:ext>
              </a:extLst>
            </xdr:cNvPr>
            <xdr:cNvSpPr txBox="1"/>
          </xdr:nvSpPr>
          <xdr:spPr>
            <a:xfrm>
              <a:off x="2247900" y="143256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nl-NL" sz="1100" i="1" kern="120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n-US" sz="1100" b="0" i="1" kern="120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NL" sz="1100" kern="12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1D6066D-62CE-4068-89C5-EC3DFE685654}"/>
                </a:ext>
              </a:extLst>
            </xdr:cNvPr>
            <xdr:cNvSpPr txBox="1"/>
          </xdr:nvSpPr>
          <xdr:spPr>
            <a:xfrm>
              <a:off x="2247900" y="1432560"/>
              <a:ext cx="21794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 kern="1200">
                  <a:latin typeface="Cambria Math" panose="02040503050406030204" pitchFamily="18" charset="0"/>
                </a:rPr>
                <a:t>𝑚</a:t>
              </a:r>
              <a:r>
                <a:rPr lang="nl-NL" sz="1100" b="0" i="0" kern="1200">
                  <a:latin typeface="Cambria Math" panose="02040503050406030204" pitchFamily="18" charset="0"/>
                </a:rPr>
                <a:t>^</a:t>
              </a:r>
              <a:r>
                <a:rPr lang="en-US" sz="1100" b="0" i="0" kern="1200">
                  <a:latin typeface="Cambria Math" panose="02040503050406030204" pitchFamily="18" charset="0"/>
                </a:rPr>
                <a:t>2</a:t>
              </a:r>
              <a:endParaRPr lang="nl-NL" sz="1100" kern="1200"/>
            </a:p>
          </xdr:txBody>
        </xdr:sp>
      </mc:Fallback>
    </mc:AlternateContent>
    <xdr:clientData/>
  </xdr:oneCellAnchor>
  <xdr:twoCellAnchor editAs="oneCell">
    <xdr:from>
      <xdr:col>3</xdr:col>
      <xdr:colOff>51632</xdr:colOff>
      <xdr:row>3</xdr:row>
      <xdr:rowOff>0</xdr:rowOff>
    </xdr:from>
    <xdr:to>
      <xdr:col>4</xdr:col>
      <xdr:colOff>632868</xdr:colOff>
      <xdr:row>12</xdr:row>
      <xdr:rowOff>175260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8C37E2C-1625-44F2-CBE1-74830F0B5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8592" y="685800"/>
          <a:ext cx="4962736" cy="246126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304800</xdr:colOff>
      <xdr:row>53</xdr:row>
      <xdr:rowOff>114300</xdr:rowOff>
    </xdr:to>
    <xdr:sp macro="" textlink="">
      <xdr:nvSpPr>
        <xdr:cNvPr id="3073" name="AutoShape 1" descr="Single-core cables laid in a flat formation | Download Scientific Diagram">
          <a:extLst>
            <a:ext uri="{FF2B5EF4-FFF2-40B4-BE49-F238E27FC236}">
              <a16:creationId xmlns:a16="http://schemas.microsoft.com/office/drawing/2014/main" id="{52150EA1-14B9-6CB8-30F4-552B516E01BF}"/>
            </a:ext>
          </a:extLst>
        </xdr:cNvPr>
        <xdr:cNvSpPr>
          <a:spLocks noChangeAspect="1" noChangeArrowheads="1"/>
        </xdr:cNvSpPr>
      </xdr:nvSpPr>
      <xdr:spPr bwMode="auto">
        <a:xfrm>
          <a:off x="6156960" y="617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152400</xdr:rowOff>
    </xdr:from>
    <xdr:to>
      <xdr:col>2</xdr:col>
      <xdr:colOff>198120</xdr:colOff>
      <xdr:row>47</xdr:row>
      <xdr:rowOff>106862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F2EB23E-EC94-AFE6-B8C3-EE24ED7C3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35680"/>
          <a:ext cx="5745480" cy="1783262"/>
        </a:xfrm>
        <a:prstGeom prst="rect">
          <a:avLst/>
        </a:prstGeom>
      </xdr:spPr>
    </xdr:pic>
    <xdr:clientData/>
  </xdr:twoCellAnchor>
  <xdr:twoCellAnchor>
    <xdr:from>
      <xdr:col>3</xdr:col>
      <xdr:colOff>1659452</xdr:colOff>
      <xdr:row>11</xdr:row>
      <xdr:rowOff>0</xdr:rowOff>
    </xdr:from>
    <xdr:to>
      <xdr:col>3</xdr:col>
      <xdr:colOff>3505200</xdr:colOff>
      <xdr:row>12</xdr:row>
      <xdr:rowOff>76200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78E5DA8-B7DE-414A-896B-0CB1DF9F63A8}"/>
            </a:ext>
          </a:extLst>
        </xdr:cNvPr>
        <xdr:cNvSpPr txBox="1"/>
      </xdr:nvSpPr>
      <xdr:spPr>
        <a:xfrm>
          <a:off x="7816412" y="2743200"/>
          <a:ext cx="1845748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kern="1200"/>
            <a:t>No Transposition</a:t>
          </a:r>
          <a:r>
            <a:rPr lang="nl-NL" sz="1100" kern="1200" baseline="0"/>
            <a:t> </a:t>
          </a:r>
          <a:endParaRPr lang="nl-NL" sz="1100" kern="12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6B5475B-4CB0-4E71-ABCA-2AC1B6E4F467}" name="Table_Invul" displayName="Table_Invul" ref="B1:C15" totalsRowShown="0" headerRowDxfId="29" dataDxfId="28">
  <autoFilter ref="B1:C15" xr:uid="{D6B5475B-4CB0-4E71-ABCA-2AC1B6E4F467}"/>
  <tableColumns count="2">
    <tableColumn id="1" xr3:uid="{71B5B769-13F3-412D-B5C1-594DA9F49F2E}" name="Parameters of cable" dataDxfId="27"/>
    <tableColumn id="2" xr3:uid="{B68DF068-2176-4AB0-9EF9-E95F80D1789B}" name="Values" dataDxfId="2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ABD65AD8-11B5-4846-86A6-CFB290B1300B}" name="Table34850" displayName="Table34850" ref="H17:I26" totalsRowShown="0" headerRowDxfId="1">
  <autoFilter ref="H17:I26" xr:uid="{ABD65AD8-11B5-4846-86A6-CFB290B1300B}"/>
  <tableColumns count="2">
    <tableColumn id="1" xr3:uid="{7B3465E4-4575-4EB1-8CF0-BE011FDACC1A}" name="Parameters"/>
    <tableColumn id="2" xr3:uid="{C9233A54-4215-4241-9EED-6E5A386BEBCA}" name="Values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559B1B-541B-4ED3-B01A-56846E2C188B}" name="Table1" displayName="Table1" ref="A1:B13" totalsRowShown="0" headerRowDxfId="25" dataDxfId="24">
  <autoFilter ref="A1:B13" xr:uid="{02559B1B-541B-4ED3-B01A-56846E2C188B}"/>
  <tableColumns count="2">
    <tableColumn id="1" xr3:uid="{E282CE26-2FC5-464E-AF0E-CA4B6247DB7C}" name="Parameters of cable" dataDxfId="23"/>
    <tableColumn id="2" xr3:uid="{AA1C1A8A-FBE4-4AFD-A0AC-21D2DD875C98}" name="Values" dataDxfId="2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26892A-9B87-4D85-8F1A-603DF5750E46}" name="Table2" displayName="Table2" ref="C17:D35" totalsRowShown="0" headerRowDxfId="21">
  <autoFilter ref="C17:D35" xr:uid="{4426892A-9B87-4D85-8F1A-603DF5750E46}">
    <filterColumn colId="0">
      <colorFilter dxfId="20"/>
    </filterColumn>
  </autoFilter>
  <tableColumns count="2">
    <tableColumn id="1" xr3:uid="{8FD9359A-D8D8-49DD-9F98-5E36774B6B3A}" name="Calculated parameters"/>
    <tableColumn id="2" xr3:uid="{74A2BADF-8C2F-45AE-BE96-BF599408EC7C}" name="Values" dataDxfId="19">
      <calculatedColumnFormula array="1">_xlfn.IFS(
LOWER(B8)="copper", 58000000,
LOWER(B8)="aluminium", 35000000,
TRUE, "Unknown"
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4C77D9D-F744-4720-88CF-F7F9E353D861}" name="Table3" displayName="Table3" ref="F18:G27" totalsRowShown="0">
  <autoFilter ref="F18:G27" xr:uid="{94C77D9D-F744-4720-88CF-F7F9E353D861}"/>
  <tableColumns count="2">
    <tableColumn id="1" xr3:uid="{EE62459A-8BDC-4861-9FE5-45494838A4DC}" name="Parameters"/>
    <tableColumn id="2" xr3:uid="{9B79639E-CADA-4D25-8259-C1696F18F240}" name="Values" dataDxfId="1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FC237F8-4DD6-459D-9591-0B7C6E3086EA}" name="Table211" displayName="Table211" ref="D17:E36" totalsRowShown="0" headerRowDxfId="17">
  <autoFilter ref="D17:E36" xr:uid="{8FC237F8-4DD6-459D-9591-0B7C6E3086EA}">
    <filterColumn colId="0">
      <colorFilter dxfId="16"/>
    </filterColumn>
  </autoFilter>
  <tableColumns count="2">
    <tableColumn id="1" xr3:uid="{FD54142A-B9B1-4BB4-900B-87C8E5FF773F}" name="Calculated parameters"/>
    <tableColumn id="2" xr3:uid="{3B05BF79-0210-4E78-BB14-778DE5C7CEDD}" name="Values" dataDxfId="15">
      <calculatedColumnFormula array="1">_xlfn.IFS(
LOWER(B8)="copper", 58000000,
LOWER(B8)="aluminium", 35000000,
TRUE, "Unknown"
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5BE6E8-E0F5-48F1-9F3C-4B9266343C0F}" name="Table15" displayName="Table15" ref="A1:B13" totalsRowShown="0" headerRowDxfId="14" dataDxfId="13">
  <autoFilter ref="A1:B13" xr:uid="{1C5BE6E8-E0F5-48F1-9F3C-4B9266343C0F}"/>
  <tableColumns count="2">
    <tableColumn id="1" xr3:uid="{2FE6FCE4-85F9-4765-B8FE-AA6A78A5F1BF}" name="Parameters of cable" dataDxfId="12"/>
    <tableColumn id="2" xr3:uid="{BDA5CB67-B2BE-429C-93F7-AA270C51FD9B}" name="Values" dataDxfId="1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750E8AB0-CAC0-4130-AA28-B952317616DA}" name="Table348" displayName="Table348" ref="G17:H26" totalsRowShown="0" headerRowDxfId="10">
  <autoFilter ref="G17:H26" xr:uid="{750E8AB0-CAC0-4130-AA28-B952317616DA}"/>
  <tableColumns count="2">
    <tableColumn id="1" xr3:uid="{4B6CC778-8718-41F0-AD47-06E5ECEA554E}" name="Parameters"/>
    <tableColumn id="2" xr3:uid="{B07E6873-C4CA-4CCF-96F2-9F1CDAD520B8}" name="Values" dataDxfId="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08C41AC-5812-408B-86AA-A87D3AC4FEE7}" name="Table1512" displayName="Table1512" ref="A1:B13" totalsRowShown="0" headerRowDxfId="8" dataDxfId="7">
  <autoFilter ref="A1:B13" xr:uid="{808C41AC-5812-408B-86AA-A87D3AC4FEE7}"/>
  <tableColumns count="2">
    <tableColumn id="1" xr3:uid="{77EF1DF2-C0E7-428F-B6E7-7F1FFA3A7A18}" name="Parameters of cable" dataDxfId="6"/>
    <tableColumn id="2" xr3:uid="{62D8A6D7-5D3F-4272-84C8-4FFBBB999023}" name="Values" dataDxfId="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CA391AB-190B-4429-9383-9789B377EB01}" name="Table21114" displayName="Table21114" ref="D17:E44" totalsRowShown="0" headerRowDxfId="4">
  <autoFilter ref="D17:E44" xr:uid="{FCA391AB-190B-4429-9383-9789B377EB01}">
    <filterColumn colId="0">
      <colorFilter dxfId="3"/>
    </filterColumn>
  </autoFilter>
  <tableColumns count="2">
    <tableColumn id="1" xr3:uid="{65AC796F-AE47-49E1-8882-7F1BF38F1674}" name="Calculated parameters"/>
    <tableColumn id="2" xr3:uid="{95E6E9DC-E51B-4C1D-968B-5A39E155CEFD}" name="Values" dataDxfId="2">
      <calculatedColumnFormula array="1">_xlfn.IFS(
LOWER(B8)="copper", 58000000,
LOWER(B8)="aluminium", 35000000,
TRUE, "Unknown"
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drawing" Target="../drawings/drawing4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305A0-EF1A-46C7-AD85-1F8291634D58}">
  <dimension ref="B1:U30"/>
  <sheetViews>
    <sheetView tabSelected="1" zoomScale="70" zoomScaleNormal="70" workbookViewId="0">
      <selection activeCell="B2" sqref="B2"/>
    </sheetView>
  </sheetViews>
  <sheetFormatPr defaultRowHeight="14.4" x14ac:dyDescent="0.3"/>
  <cols>
    <col min="2" max="2" width="64.5546875" bestFit="1" customWidth="1"/>
    <col min="3" max="3" width="15.77734375" bestFit="1" customWidth="1"/>
    <col min="4" max="5" width="10.77734375" bestFit="1" customWidth="1"/>
    <col min="6" max="6" width="54.77734375" customWidth="1"/>
    <col min="7" max="7" width="15" customWidth="1"/>
  </cols>
  <sheetData>
    <row r="1" spans="2:21" ht="18" x14ac:dyDescent="0.35">
      <c r="B1" s="1" t="s">
        <v>0</v>
      </c>
      <c r="C1" s="1" t="s">
        <v>1</v>
      </c>
      <c r="F1" s="17" t="s">
        <v>2</v>
      </c>
      <c r="G1" s="18"/>
    </row>
    <row r="2" spans="2:21" ht="18" x14ac:dyDescent="0.35">
      <c r="B2" s="7" t="s">
        <v>97</v>
      </c>
      <c r="C2" s="35">
        <v>2000</v>
      </c>
      <c r="F2" s="19" t="s">
        <v>3</v>
      </c>
      <c r="G2" s="20"/>
    </row>
    <row r="3" spans="2:21" ht="18" x14ac:dyDescent="0.35">
      <c r="B3" s="7" t="s">
        <v>4</v>
      </c>
      <c r="C3" s="35">
        <v>50</v>
      </c>
      <c r="F3" s="19" t="str">
        <f>'Trefoil formation '!C17</f>
        <v>Calculated parameters</v>
      </c>
      <c r="G3" s="21" t="str">
        <f>'Trefoil formation '!D17</f>
        <v>Values</v>
      </c>
      <c r="L3" s="4" t="s">
        <v>5</v>
      </c>
      <c r="P3" s="4" t="s">
        <v>6</v>
      </c>
      <c r="U3" s="4" t="s">
        <v>7</v>
      </c>
    </row>
    <row r="4" spans="2:21" ht="18" x14ac:dyDescent="0.35">
      <c r="B4" s="7" t="s">
        <v>8</v>
      </c>
      <c r="C4" s="35">
        <v>9.2999999999999999E-2</v>
      </c>
      <c r="F4" s="22" t="str">
        <f>'Trefoil formation '!C32</f>
        <v xml:space="preserve">Total cost of energy loss @ 100% capacity factor/ yr </v>
      </c>
      <c r="G4" s="23">
        <f>'Trefoil formation '!D32</f>
        <v>19201.498642891176</v>
      </c>
    </row>
    <row r="5" spans="2:21" ht="18" x14ac:dyDescent="0.35">
      <c r="B5" s="7" t="s">
        <v>9</v>
      </c>
      <c r="C5" s="35">
        <v>7.4999999999999997E-2</v>
      </c>
      <c r="F5" s="22" t="str">
        <f>'Trefoil formation '!C33</f>
        <v>Total cost of energy loss per year @ capacity factor/ yr</v>
      </c>
      <c r="G5" s="23">
        <f>'Trefoil formation '!D33</f>
        <v>6451.703544011436</v>
      </c>
    </row>
    <row r="6" spans="2:21" ht="18" x14ac:dyDescent="0.35">
      <c r="B6" s="7" t="s">
        <v>10</v>
      </c>
      <c r="C6" s="35">
        <f>1.146*10^-3</f>
        <v>1.1459999999999999E-3</v>
      </c>
      <c r="F6" s="22" t="str">
        <f>'Trefoil formation '!C34</f>
        <v>Energy cost from conductor</v>
      </c>
      <c r="G6" s="23">
        <f>'Trefoil formation '!D34</f>
        <v>2784.1915834944093</v>
      </c>
    </row>
    <row r="7" spans="2:21" ht="18" x14ac:dyDescent="0.35">
      <c r="B7" s="7" t="s">
        <v>11</v>
      </c>
      <c r="C7" s="35">
        <f>238.76*10^-6</f>
        <v>2.3875999999999997E-4</v>
      </c>
      <c r="F7" s="24" t="s">
        <v>12</v>
      </c>
      <c r="G7" s="25">
        <f>'Trefoil formation '!D35</f>
        <v>3667.5119605170266</v>
      </c>
    </row>
    <row r="8" spans="2:21" ht="18" x14ac:dyDescent="0.35">
      <c r="B8" s="7" t="s">
        <v>13</v>
      </c>
      <c r="C8" s="36" t="str">
        <f>C14</f>
        <v>Copper</v>
      </c>
    </row>
    <row r="9" spans="2:21" ht="18" x14ac:dyDescent="0.35">
      <c r="B9" s="7" t="s">
        <v>14</v>
      </c>
      <c r="C9" s="35" t="str">
        <f>C15</f>
        <v>Copper</v>
      </c>
      <c r="F9" s="17" t="s">
        <v>15</v>
      </c>
      <c r="G9" s="18"/>
    </row>
    <row r="10" spans="2:21" ht="18" x14ac:dyDescent="0.35">
      <c r="B10" s="7" t="s">
        <v>16</v>
      </c>
      <c r="C10" s="37">
        <v>0.1</v>
      </c>
      <c r="F10" s="19" t="s">
        <v>17</v>
      </c>
      <c r="G10" s="20"/>
    </row>
    <row r="11" spans="2:21" ht="18" x14ac:dyDescent="0.35">
      <c r="B11" s="7" t="s">
        <v>18</v>
      </c>
      <c r="C11" s="35">
        <f>24*365</f>
        <v>8760</v>
      </c>
      <c r="F11" s="19" t="s">
        <v>19</v>
      </c>
      <c r="G11" s="21" t="s">
        <v>1</v>
      </c>
    </row>
    <row r="12" spans="2:21" ht="18" x14ac:dyDescent="0.35">
      <c r="B12" s="7" t="s">
        <v>20</v>
      </c>
      <c r="C12" s="35">
        <v>275</v>
      </c>
      <c r="F12" s="22" t="str">
        <f>'Flat (transposition)'!D33</f>
        <v xml:space="preserve">Total cost of energy loss @ 100% capacity factor/ yr </v>
      </c>
      <c r="G12" s="23">
        <f>'Flat (transposition)'!E33</f>
        <v>22177.438994092929</v>
      </c>
    </row>
    <row r="13" spans="2:21" ht="18" x14ac:dyDescent="0.35">
      <c r="B13" s="7" t="s">
        <v>21</v>
      </c>
      <c r="C13" s="38">
        <v>0.33600000000000002</v>
      </c>
      <c r="F13" s="22" t="str">
        <f>'Flat (transposition)'!D34</f>
        <v>Total cost of energy loss per year @ capacity factor/ yr</v>
      </c>
      <c r="G13" s="23">
        <f>'Flat (transposition)'!E34</f>
        <v>7451.6195020152245</v>
      </c>
    </row>
    <row r="14" spans="2:21" ht="15.6" x14ac:dyDescent="0.3">
      <c r="B14" s="14" t="s">
        <v>22</v>
      </c>
      <c r="C14" s="39" t="s">
        <v>23</v>
      </c>
      <c r="D14" s="16"/>
      <c r="F14" s="24" t="s">
        <v>12</v>
      </c>
      <c r="G14" s="25">
        <f>'Flat (transposition)'!E36</f>
        <v>4667.4279185208152</v>
      </c>
    </row>
    <row r="15" spans="2:21" ht="15.6" x14ac:dyDescent="0.3">
      <c r="B15" s="15" t="s">
        <v>24</v>
      </c>
      <c r="C15" s="40" t="s">
        <v>23</v>
      </c>
      <c r="D15" s="13"/>
    </row>
    <row r="16" spans="2:21" ht="18" x14ac:dyDescent="0.35">
      <c r="B16" s="4"/>
      <c r="D16" s="13"/>
      <c r="F16" s="17" t="s">
        <v>25</v>
      </c>
      <c r="G16" s="18"/>
    </row>
    <row r="17" spans="2:7" x14ac:dyDescent="0.3">
      <c r="F17" s="19" t="s">
        <v>17</v>
      </c>
      <c r="G17" s="20"/>
    </row>
    <row r="18" spans="2:7" x14ac:dyDescent="0.3">
      <c r="B18" t="s">
        <v>26</v>
      </c>
      <c r="F18" s="19" t="s">
        <v>19</v>
      </c>
      <c r="G18" s="21" t="s">
        <v>1</v>
      </c>
    </row>
    <row r="19" spans="2:7" ht="15.6" x14ac:dyDescent="0.3">
      <c r="B19" s="26"/>
      <c r="F19" s="22" t="str">
        <f>'Flat (no transposition)'!D41</f>
        <v xml:space="preserve">Total cost of energy loss @ 100% capacity factor/ yr </v>
      </c>
      <c r="G19" s="23">
        <f>'Flat (no transposition)'!E41</f>
        <v>21136.941878755406</v>
      </c>
    </row>
    <row r="20" spans="2:7" x14ac:dyDescent="0.3">
      <c r="B20" t="s">
        <v>27</v>
      </c>
      <c r="F20" s="22" t="str">
        <f>'Flat (no transposition)'!D42</f>
        <v>Total cost of energy loss per year @ capacity factor/ yr</v>
      </c>
      <c r="G20" s="23">
        <f>'Flat (no transposition)'!E42</f>
        <v>7102.0124712618172</v>
      </c>
    </row>
    <row r="21" spans="2:7" x14ac:dyDescent="0.3">
      <c r="B21" t="s">
        <v>28</v>
      </c>
      <c r="F21" s="24" t="s">
        <v>12</v>
      </c>
      <c r="G21" s="25">
        <f>'Flat (no transposition)'!E44</f>
        <v>4317.8208877674078</v>
      </c>
    </row>
    <row r="22" spans="2:7" x14ac:dyDescent="0.3">
      <c r="B22" t="s">
        <v>29</v>
      </c>
    </row>
    <row r="23" spans="2:7" x14ac:dyDescent="0.3">
      <c r="B23" t="s">
        <v>30</v>
      </c>
    </row>
    <row r="24" spans="2:7" x14ac:dyDescent="0.3">
      <c r="B24" t="s">
        <v>31</v>
      </c>
    </row>
    <row r="25" spans="2:7" x14ac:dyDescent="0.3">
      <c r="B25" t="s">
        <v>32</v>
      </c>
    </row>
    <row r="26" spans="2:7" x14ac:dyDescent="0.3">
      <c r="F26" s="41" t="s">
        <v>33</v>
      </c>
      <c r="G26" s="43" t="s">
        <v>34</v>
      </c>
    </row>
    <row r="27" spans="2:7" x14ac:dyDescent="0.3">
      <c r="F27" s="22" t="s">
        <v>2</v>
      </c>
      <c r="G27" s="42">
        <f>20*G7</f>
        <v>73350.239210340529</v>
      </c>
    </row>
    <row r="28" spans="2:7" x14ac:dyDescent="0.3">
      <c r="F28" s="22" t="s">
        <v>35</v>
      </c>
      <c r="G28" s="42">
        <f>20*G14</f>
        <v>93348.5583704163</v>
      </c>
    </row>
    <row r="29" spans="2:7" x14ac:dyDescent="0.3">
      <c r="F29" s="24" t="s">
        <v>36</v>
      </c>
      <c r="G29" s="44">
        <f>20*G21</f>
        <v>86356.417755348157</v>
      </c>
    </row>
    <row r="30" spans="2:7" x14ac:dyDescent="0.3">
      <c r="F30" t="s">
        <v>37</v>
      </c>
    </row>
  </sheetData>
  <sheetProtection sheet="1" objects="1" scenarios="1"/>
  <dataValidations count="1">
    <dataValidation type="list" allowBlank="1" showInputMessage="1" showErrorMessage="1" errorTitle="Invalid choice" error="Only Aluminium or Copper is allowed." promptTitle="Select material" prompt="Choose Aluminium or Copper." sqref="C14:C15" xr:uid="{84ABA26B-F3B9-402D-BAC2-A21A43DC5FF5}">
      <formula1>"Aluminium,Copper"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workbookViewId="0">
      <selection activeCell="A38" sqref="A38"/>
    </sheetView>
  </sheetViews>
  <sheetFormatPr defaultRowHeight="14.4" x14ac:dyDescent="0.3"/>
  <cols>
    <col min="1" max="1" width="45.21875" customWidth="1"/>
    <col min="2" max="2" width="29.77734375" customWidth="1"/>
    <col min="3" max="3" width="59.5546875" customWidth="1"/>
    <col min="4" max="4" width="27.5546875" customWidth="1"/>
    <col min="5" max="5" width="8.77734375" customWidth="1"/>
    <col min="6" max="6" width="24.21875" customWidth="1"/>
    <col min="7" max="7" width="34.21875" customWidth="1"/>
    <col min="8" max="8" width="10.44140625" customWidth="1"/>
  </cols>
  <sheetData>
    <row r="1" spans="1:2" ht="21.6" customHeight="1" x14ac:dyDescent="0.35">
      <c r="A1" s="1" t="s">
        <v>0</v>
      </c>
      <c r="B1" s="1" t="s">
        <v>1</v>
      </c>
    </row>
    <row r="2" spans="1:2" ht="18" x14ac:dyDescent="0.35">
      <c r="A2" s="1" t="s">
        <v>38</v>
      </c>
      <c r="B2" s="1">
        <f>Table_Invul[[#This Row],[Values]]</f>
        <v>2000</v>
      </c>
    </row>
    <row r="3" spans="1:2" ht="18" x14ac:dyDescent="0.35">
      <c r="A3" s="7" t="s">
        <v>4</v>
      </c>
      <c r="B3" s="7">
        <f>Table_Invul[[#This Row],[Values]]</f>
        <v>50</v>
      </c>
    </row>
    <row r="4" spans="1:2" ht="18" x14ac:dyDescent="0.35">
      <c r="A4" s="7" t="s">
        <v>39</v>
      </c>
      <c r="B4" s="7">
        <f>Table_Invul[[#This Row],[Values]]</f>
        <v>9.2999999999999999E-2</v>
      </c>
    </row>
    <row r="5" spans="1:2" ht="18" x14ac:dyDescent="0.35">
      <c r="A5" s="27" t="s">
        <v>9</v>
      </c>
      <c r="B5" s="27">
        <f>Table_Invul[[#This Row],[Values]]</f>
        <v>7.4999999999999997E-2</v>
      </c>
    </row>
    <row r="6" spans="1:2" ht="18" x14ac:dyDescent="0.35">
      <c r="A6" s="27" t="s">
        <v>10</v>
      </c>
      <c r="B6" s="27">
        <f>Table_Invul[[#This Row],[Values]]</f>
        <v>1.1459999999999999E-3</v>
      </c>
    </row>
    <row r="7" spans="1:2" ht="18" x14ac:dyDescent="0.35">
      <c r="A7" s="27" t="s">
        <v>11</v>
      </c>
      <c r="B7" s="27">
        <f>Table_Invul[[#This Row],[Values]]</f>
        <v>2.3875999999999997E-4</v>
      </c>
    </row>
    <row r="8" spans="1:2" ht="18" x14ac:dyDescent="0.35">
      <c r="A8" s="27" t="s">
        <v>40</v>
      </c>
      <c r="B8" s="28" t="str">
        <f>Table_Invul[[#This Row],[Values]]</f>
        <v>Copper</v>
      </c>
    </row>
    <row r="9" spans="1:2" ht="18" x14ac:dyDescent="0.35">
      <c r="A9" s="27" t="s">
        <v>41</v>
      </c>
      <c r="B9" s="27" t="str">
        <f>Table_Invul[[#This Row],[Values]]</f>
        <v>Copper</v>
      </c>
    </row>
    <row r="10" spans="1:2" ht="18" x14ac:dyDescent="0.35">
      <c r="A10" s="29" t="s">
        <v>16</v>
      </c>
      <c r="B10" s="30">
        <f>Table_Invul[[#This Row],[Values]]</f>
        <v>0.1</v>
      </c>
    </row>
    <row r="11" spans="1:2" ht="18" x14ac:dyDescent="0.35">
      <c r="A11" s="29" t="s">
        <v>18</v>
      </c>
      <c r="B11" s="29">
        <f>Table_Invul[[#This Row],[Values]]</f>
        <v>8760</v>
      </c>
    </row>
    <row r="12" spans="1:2" ht="18" x14ac:dyDescent="0.35">
      <c r="A12" s="29" t="s">
        <v>20</v>
      </c>
      <c r="B12" s="29">
        <f>Table_Invul[[#This Row],[Values]]</f>
        <v>275</v>
      </c>
    </row>
    <row r="13" spans="1:2" ht="18" x14ac:dyDescent="0.35">
      <c r="A13" s="29" t="s">
        <v>42</v>
      </c>
      <c r="B13" s="29">
        <f>Table_Invul[[#This Row],[Values]]</f>
        <v>0.33600000000000002</v>
      </c>
    </row>
    <row r="14" spans="1:2" ht="18" x14ac:dyDescent="0.35">
      <c r="A14" s="1"/>
      <c r="B14" s="1"/>
    </row>
    <row r="15" spans="1:2" ht="18" x14ac:dyDescent="0.35">
      <c r="A15" s="1"/>
      <c r="B15" s="1"/>
    </row>
    <row r="16" spans="1:2" ht="18" x14ac:dyDescent="0.35">
      <c r="A16" s="1"/>
      <c r="B16" s="1"/>
    </row>
    <row r="17" spans="1:7" ht="18" x14ac:dyDescent="0.35">
      <c r="A17" s="1"/>
      <c r="B17" s="1"/>
      <c r="C17" s="1" t="s">
        <v>19</v>
      </c>
      <c r="D17" s="1" t="s">
        <v>1</v>
      </c>
    </row>
    <row r="18" spans="1:7" ht="18" hidden="1" x14ac:dyDescent="0.35">
      <c r="A18" s="1"/>
      <c r="B18" s="1"/>
      <c r="C18" s="1" t="s">
        <v>43</v>
      </c>
      <c r="D18" s="2" cm="1">
        <f t="array" ref="D18">_xlfn.IFS(
LOWER($B8)="copper", 1/58000000,
LOWER($B8)="aluminium", 1/36900000,
TRUE, "Unknown"
)</f>
        <v>1.7241379310344829E-8</v>
      </c>
      <c r="F18" t="s">
        <v>44</v>
      </c>
      <c r="G18" t="s">
        <v>1</v>
      </c>
    </row>
    <row r="19" spans="1:7" ht="30.6" hidden="1" customHeight="1" x14ac:dyDescent="0.35">
      <c r="C19" s="1" t="s">
        <v>45</v>
      </c>
      <c r="D19" s="2" cm="1">
        <f t="array" ref="D19">_xlfn.IFS(LOWER($B9)="copper", 1/58000000,
LOWER($B9)="aluminium", 1/35000000, LOWER($B9)="lead", 1/ 4810000,
TRUE, "Unknown"
)</f>
        <v>1.7241379310344829E-8</v>
      </c>
      <c r="F19" t="s">
        <v>46</v>
      </c>
      <c r="G19">
        <f>((8*PI()*B3)/G20)*10^-7*1</f>
        <v>8.3526152199522539</v>
      </c>
    </row>
    <row r="20" spans="1:7" ht="18" hidden="1" x14ac:dyDescent="0.35">
      <c r="C20" s="1" t="s">
        <v>47</v>
      </c>
      <c r="D20">
        <f>$G$27</f>
        <v>2.0846785349599961E-5</v>
      </c>
      <c r="F20" t="s">
        <v>48</v>
      </c>
      <c r="G20">
        <f>(D18)/B6</f>
        <v>1.5044833604140341E-5</v>
      </c>
    </row>
    <row r="21" spans="1:7" ht="18" hidden="1" x14ac:dyDescent="0.35">
      <c r="C21" s="1" t="s">
        <v>49</v>
      </c>
      <c r="D21">
        <f>($D$19)/$B$7</f>
        <v>7.2212176706084897E-5</v>
      </c>
      <c r="F21" t="s">
        <v>50</v>
      </c>
      <c r="G21">
        <f>((8*PI()*B3)/G20)*10^-7*1</f>
        <v>8.3526152199522539</v>
      </c>
    </row>
    <row r="22" spans="1:7" ht="18" hidden="1" x14ac:dyDescent="0.35">
      <c r="C22" s="1" t="s">
        <v>51</v>
      </c>
      <c r="D22">
        <f>B5/2-D23</f>
        <v>1.8400703427439425E-2</v>
      </c>
      <c r="F22" t="s">
        <v>52</v>
      </c>
      <c r="G22">
        <f>(2*D23/B4)</f>
        <v>0.41073756070022738</v>
      </c>
    </row>
    <row r="23" spans="1:7" ht="18" hidden="1" x14ac:dyDescent="0.35">
      <c r="C23" s="1" t="s">
        <v>53</v>
      </c>
      <c r="D23">
        <f>SQRT(B6/PI())</f>
        <v>1.9099296572560574E-2</v>
      </c>
      <c r="F23" t="s">
        <v>54</v>
      </c>
      <c r="G23">
        <f>G19^2/(192+(0.8*G19^2))</f>
        <v>0.28152758955368817</v>
      </c>
    </row>
    <row r="24" spans="1:7" ht="18" hidden="1" x14ac:dyDescent="0.35">
      <c r="C24" s="1" t="s">
        <v>55</v>
      </c>
      <c r="D24">
        <f>D22+D23+0.0003</f>
        <v>3.78E-2</v>
      </c>
      <c r="F24" t="s">
        <v>56</v>
      </c>
      <c r="G24">
        <f>G23*(D23*2/B4)^2</f>
        <v>4.749520877638682E-2</v>
      </c>
    </row>
    <row r="25" spans="1:7" ht="18" hidden="1" x14ac:dyDescent="0.35">
      <c r="C25" s="1" t="s">
        <v>57</v>
      </c>
      <c r="D25">
        <f>B12^2*D20*B2</f>
        <v>3153.0762841269939</v>
      </c>
      <c r="F25" t="s">
        <v>58</v>
      </c>
      <c r="G25">
        <f>0.312*(G22)^2+(1.18/(G23+0.27))</f>
        <v>2.1921482554948821</v>
      </c>
    </row>
    <row r="26" spans="1:7" ht="18" hidden="1" x14ac:dyDescent="0.35">
      <c r="C26" s="1" t="s">
        <v>59</v>
      </c>
      <c r="D26">
        <f>2*10^-7*LN(B4/D24)</f>
        <v>1.800580781055428E-7</v>
      </c>
      <c r="F26" t="s">
        <v>60</v>
      </c>
      <c r="G26">
        <f>G24*G25</f>
        <v>0.10411653906352158</v>
      </c>
    </row>
    <row r="27" spans="1:7" ht="18" hidden="1" x14ac:dyDescent="0.35">
      <c r="C27" s="1" t="s">
        <v>61</v>
      </c>
      <c r="D27">
        <f>2*PI()*B3</f>
        <v>314.15926535897933</v>
      </c>
      <c r="F27" t="s">
        <v>62</v>
      </c>
      <c r="G27">
        <f>G20*(1+G23+G26)</f>
        <v>2.0846785349599961E-5</v>
      </c>
    </row>
    <row r="28" spans="1:7" ht="18" hidden="1" x14ac:dyDescent="0.35">
      <c r="C28" s="1" t="s">
        <v>63</v>
      </c>
      <c r="D28">
        <f>D27*D26</f>
        <v>5.6566913539587043E-5</v>
      </c>
    </row>
    <row r="29" spans="1:7" ht="18" hidden="1" x14ac:dyDescent="0.35">
      <c r="C29" s="1" t="s">
        <v>64</v>
      </c>
      <c r="D29">
        <f xml:space="preserve"> (D28^2 /  ( D28^2 + D21^2) )*(D21/D20)</f>
        <v>1.3172627854560108</v>
      </c>
    </row>
    <row r="30" spans="1:7" ht="18" hidden="1" x14ac:dyDescent="0.35">
      <c r="C30" s="1" t="s">
        <v>65</v>
      </c>
      <c r="D30">
        <f>D25*(1+D29)*10^-3</f>
        <v>7.3065063329114066</v>
      </c>
    </row>
    <row r="31" spans="1:7" ht="18" hidden="1" x14ac:dyDescent="0.35">
      <c r="A31" s="5"/>
      <c r="C31" s="1" t="s">
        <v>66</v>
      </c>
      <c r="D31">
        <f>3*D30</f>
        <v>21.919518998734219</v>
      </c>
      <c r="E31" t="s">
        <v>67</v>
      </c>
      <c r="F31">
        <v>0.627</v>
      </c>
    </row>
    <row r="32" spans="1:7" ht="18" x14ac:dyDescent="0.35">
      <c r="C32" s="29" t="s">
        <v>68</v>
      </c>
      <c r="D32" s="31">
        <f>D31*B11*B10</f>
        <v>19201.498642891176</v>
      </c>
    </row>
    <row r="33" spans="1:4" ht="18" x14ac:dyDescent="0.35">
      <c r="C33" s="29" t="s">
        <v>69</v>
      </c>
      <c r="D33" s="31">
        <f>D32*B13</f>
        <v>6451.703544011436</v>
      </c>
    </row>
    <row r="34" spans="1:4" ht="18" hidden="1" x14ac:dyDescent="0.35">
      <c r="C34" s="7" t="s">
        <v>70</v>
      </c>
      <c r="D34" s="9">
        <f>D25*10^-3*3*B10*B11*B13</f>
        <v>2784.1915834944093</v>
      </c>
    </row>
    <row r="35" spans="1:4" ht="18" x14ac:dyDescent="0.35">
      <c r="C35" s="29" t="s">
        <v>71</v>
      </c>
      <c r="D35" s="31">
        <f>D33-D34</f>
        <v>3667.5119605170266</v>
      </c>
    </row>
    <row r="36" spans="1:4" ht="18" x14ac:dyDescent="0.35">
      <c r="C36" s="29"/>
      <c r="D36" s="31"/>
    </row>
    <row r="37" spans="1:4" x14ac:dyDescent="0.3">
      <c r="A37" t="s">
        <v>30</v>
      </c>
    </row>
    <row r="38" spans="1:4" x14ac:dyDescent="0.3">
      <c r="A38" t="s">
        <v>31</v>
      </c>
    </row>
    <row r="39" spans="1:4" x14ac:dyDescent="0.3">
      <c r="A39" t="s">
        <v>27</v>
      </c>
    </row>
    <row r="40" spans="1:4" x14ac:dyDescent="0.3">
      <c r="A40" t="s">
        <v>72</v>
      </c>
    </row>
    <row r="41" spans="1:4" x14ac:dyDescent="0.3">
      <c r="A41" t="s">
        <v>28</v>
      </c>
    </row>
    <row r="42" spans="1:4" x14ac:dyDescent="0.3">
      <c r="A42" t="s">
        <v>29</v>
      </c>
    </row>
  </sheetData>
  <sheetProtection sheet="1" objects="1" scenarios="1"/>
  <phoneticPr fontId="7" type="noConversion"/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F2DC-CF29-4A56-8EDE-0EC72CC9BC55}">
  <dimension ref="A1:H46"/>
  <sheetViews>
    <sheetView topLeftCell="A9" zoomScale="102" zoomScaleNormal="102" workbookViewId="0">
      <selection activeCell="A41" sqref="A41:A46"/>
    </sheetView>
  </sheetViews>
  <sheetFormatPr defaultRowHeight="14.4" x14ac:dyDescent="0.3"/>
  <cols>
    <col min="1" max="1" width="42" customWidth="1"/>
    <col min="2" max="2" width="28.77734375" customWidth="1"/>
    <col min="3" max="3" width="16.21875" customWidth="1"/>
    <col min="4" max="4" width="65.5546875" customWidth="1"/>
    <col min="5" max="5" width="33.77734375" customWidth="1"/>
    <col min="7" max="7" width="24.77734375" customWidth="1"/>
    <col min="8" max="8" width="32.5546875" customWidth="1"/>
  </cols>
  <sheetData>
    <row r="1" spans="1:2" ht="18" x14ac:dyDescent="0.35">
      <c r="A1" s="1" t="s">
        <v>0</v>
      </c>
      <c r="B1" s="1" t="s">
        <v>1</v>
      </c>
    </row>
    <row r="2" spans="1:2" ht="18" x14ac:dyDescent="0.35">
      <c r="A2" s="1" t="s">
        <v>38</v>
      </c>
      <c r="B2" s="1">
        <f>Table_Invul[[#This Row],[Values]]</f>
        <v>2000</v>
      </c>
    </row>
    <row r="3" spans="1:2" ht="18" x14ac:dyDescent="0.35">
      <c r="A3" s="1" t="s">
        <v>4</v>
      </c>
      <c r="B3" s="1">
        <f>Table_Invul[[#This Row],[Values]]</f>
        <v>50</v>
      </c>
    </row>
    <row r="4" spans="1:2" s="8" customFormat="1" ht="36" x14ac:dyDescent="0.35">
      <c r="A4" s="32" t="s">
        <v>73</v>
      </c>
      <c r="B4" s="1">
        <f>Table_Invul[[#This Row],[Values]]</f>
        <v>9.2999999999999999E-2</v>
      </c>
    </row>
    <row r="5" spans="1:2" ht="18" x14ac:dyDescent="0.35">
      <c r="A5" s="27" t="s">
        <v>9</v>
      </c>
      <c r="B5" s="27">
        <f>Table_Invul[[#This Row],[Values]]</f>
        <v>7.4999999999999997E-2</v>
      </c>
    </row>
    <row r="6" spans="1:2" ht="18" x14ac:dyDescent="0.35">
      <c r="A6" s="27" t="s">
        <v>10</v>
      </c>
      <c r="B6" s="27">
        <f>Table_Invul[[#This Row],[Values]]</f>
        <v>1.1459999999999999E-3</v>
      </c>
    </row>
    <row r="7" spans="1:2" ht="18" x14ac:dyDescent="0.35">
      <c r="A7" s="27" t="s">
        <v>11</v>
      </c>
      <c r="B7" s="27">
        <f>Table_Invul[[#This Row],[Values]]</f>
        <v>2.3875999999999997E-4</v>
      </c>
    </row>
    <row r="8" spans="1:2" ht="18" x14ac:dyDescent="0.35">
      <c r="A8" s="27" t="s">
        <v>40</v>
      </c>
      <c r="B8" s="27" t="str">
        <f>Table_Invul[[#This Row],[Values]]</f>
        <v>Copper</v>
      </c>
    </row>
    <row r="9" spans="1:2" ht="18" x14ac:dyDescent="0.35">
      <c r="A9" s="27" t="s">
        <v>41</v>
      </c>
      <c r="B9" s="27" t="str">
        <f>Table_Invul[[#This Row],[Values]]</f>
        <v>Copper</v>
      </c>
    </row>
    <row r="10" spans="1:2" ht="18" x14ac:dyDescent="0.35">
      <c r="A10" s="29" t="s">
        <v>16</v>
      </c>
      <c r="B10" s="29">
        <f>Table_Invul[[#This Row],[Values]]</f>
        <v>0.1</v>
      </c>
    </row>
    <row r="11" spans="1:2" ht="18" x14ac:dyDescent="0.35">
      <c r="A11" s="29" t="s">
        <v>74</v>
      </c>
      <c r="B11" s="29">
        <f>Table_Invul[[#This Row],[Values]]</f>
        <v>8760</v>
      </c>
    </row>
    <row r="12" spans="1:2" ht="18" x14ac:dyDescent="0.35">
      <c r="A12" s="29" t="s">
        <v>20</v>
      </c>
      <c r="B12" s="29">
        <f>Table_Invul[[#This Row],[Values]]</f>
        <v>275</v>
      </c>
    </row>
    <row r="13" spans="1:2" ht="18" x14ac:dyDescent="0.35">
      <c r="A13" s="29" t="s">
        <v>42</v>
      </c>
      <c r="B13" s="29">
        <f>Table_Invul[[#This Row],[Values]]</f>
        <v>0.33600000000000002</v>
      </c>
    </row>
    <row r="17" spans="4:8" ht="18" x14ac:dyDescent="0.35">
      <c r="D17" s="1" t="s">
        <v>19</v>
      </c>
      <c r="E17" t="s">
        <v>1</v>
      </c>
      <c r="G17" t="s">
        <v>44</v>
      </c>
      <c r="H17" t="s">
        <v>1</v>
      </c>
    </row>
    <row r="18" spans="4:8" ht="18" hidden="1" x14ac:dyDescent="0.35">
      <c r="D18" s="1" t="s">
        <v>43</v>
      </c>
      <c r="E18" cm="1">
        <f t="array" ref="E18">_xlfn.IFS(
LOWER($B8)="copper", 1/58000000,
LOWER($B8)="aluminium", 1/36900000,
TRUE, "Unknown"
)</f>
        <v>1.7241379310344829E-8</v>
      </c>
      <c r="G18" t="s">
        <v>75</v>
      </c>
      <c r="H18">
        <f>((8*PI()*B3)/H19)*10^-7*1</f>
        <v>8.3526152199522539</v>
      </c>
    </row>
    <row r="19" spans="4:8" ht="18" hidden="1" x14ac:dyDescent="0.35">
      <c r="D19" s="1" t="s">
        <v>45</v>
      </c>
      <c r="E19" s="2" cm="1">
        <f t="array" ref="E19">_xlfn.IFS(LOWER($B9)="copper", 1/58000000,
LOWER($B9)="aluminium", 1/35000000, LOWER($B9)="lead", 1/ 4810000,
TRUE, "Unknown"
)</f>
        <v>1.7241379310344829E-8</v>
      </c>
      <c r="G19" t="s">
        <v>48</v>
      </c>
      <c r="H19">
        <f>(E18)/B6</f>
        <v>1.5044833604140341E-5</v>
      </c>
    </row>
    <row r="20" spans="4:8" hidden="1" x14ac:dyDescent="0.3">
      <c r="G20" t="s">
        <v>76</v>
      </c>
      <c r="H20">
        <f>((8*PI()*B3)/H19)*10^-7*1</f>
        <v>8.3526152199522539</v>
      </c>
    </row>
    <row r="21" spans="4:8" ht="18" hidden="1" x14ac:dyDescent="0.35">
      <c r="D21" s="1" t="s">
        <v>47</v>
      </c>
      <c r="E21">
        <f>H26</f>
        <v>2.0846785349599961E-5</v>
      </c>
      <c r="G21" t="s">
        <v>52</v>
      </c>
      <c r="H21">
        <f>(2*E24/B4)</f>
        <v>0.41073756070022738</v>
      </c>
    </row>
    <row r="22" spans="4:8" ht="18" hidden="1" x14ac:dyDescent="0.35">
      <c r="D22" s="1" t="s">
        <v>49</v>
      </c>
      <c r="E22">
        <f>(E19)/B7</f>
        <v>7.2212176706084897E-5</v>
      </c>
      <c r="G22" t="s">
        <v>54</v>
      </c>
      <c r="H22">
        <f>H18^2/(192+(0.8*H18^2))</f>
        <v>0.28152758955368817</v>
      </c>
    </row>
    <row r="23" spans="4:8" ht="18" hidden="1" x14ac:dyDescent="0.35">
      <c r="D23" s="1" t="s">
        <v>51</v>
      </c>
      <c r="E23">
        <f>B5/2-E24</f>
        <v>1.8400703427439425E-2</v>
      </c>
      <c r="G23" t="s">
        <v>56</v>
      </c>
      <c r="H23">
        <f>H22*(H21)^2</f>
        <v>4.749520877638682E-2</v>
      </c>
    </row>
    <row r="24" spans="4:8" ht="18" hidden="1" x14ac:dyDescent="0.35">
      <c r="D24" s="1" t="s">
        <v>53</v>
      </c>
      <c r="E24">
        <f>SQRT(B6/PI())</f>
        <v>1.9099296572560574E-2</v>
      </c>
      <c r="G24" t="s">
        <v>58</v>
      </c>
      <c r="H24">
        <f>0.312*(H21)^2+(1.18/(H22+0.27))</f>
        <v>2.1921482554948821</v>
      </c>
    </row>
    <row r="25" spans="4:8" ht="18" hidden="1" x14ac:dyDescent="0.35">
      <c r="D25" s="1" t="s">
        <v>55</v>
      </c>
      <c r="E25">
        <f>E23+E24+0.001</f>
        <v>3.85E-2</v>
      </c>
      <c r="G25" t="s">
        <v>60</v>
      </c>
      <c r="H25">
        <f>H24*H23</f>
        <v>0.10411653906352158</v>
      </c>
    </row>
    <row r="26" spans="4:8" ht="18" hidden="1" x14ac:dyDescent="0.35">
      <c r="D26" s="1" t="s">
        <v>57</v>
      </c>
      <c r="E26">
        <f>B12^2*E21*B2</f>
        <v>3153.0762841269939</v>
      </c>
      <c r="G26" t="s">
        <v>62</v>
      </c>
      <c r="H26">
        <f>H19*(1+H25+H22)</f>
        <v>2.0846785349599961E-5</v>
      </c>
    </row>
    <row r="27" spans="4:8" ht="18" hidden="1" x14ac:dyDescent="0.35">
      <c r="D27" s="1" t="s">
        <v>59</v>
      </c>
      <c r="E27">
        <f>2*10^-7*LN(POWER(2,1/3)*(B4/E25))</f>
        <v>2.2259806240923317E-7</v>
      </c>
    </row>
    <row r="28" spans="4:8" ht="18" hidden="1" x14ac:dyDescent="0.35">
      <c r="D28" s="1" t="s">
        <v>61</v>
      </c>
      <c r="E28">
        <f>2*PI()*B3</f>
        <v>314.15926535897933</v>
      </c>
    </row>
    <row r="29" spans="4:8" ht="18" hidden="1" x14ac:dyDescent="0.35">
      <c r="D29" s="1" t="s">
        <v>63</v>
      </c>
      <c r="E29">
        <f>E28*E27</f>
        <v>6.9931243756816928E-5</v>
      </c>
    </row>
    <row r="30" spans="4:8" ht="18" hidden="1" x14ac:dyDescent="0.35">
      <c r="D30" s="1" t="s">
        <v>64</v>
      </c>
      <c r="E30">
        <f xml:space="preserve"> (E29^2 /  ( E29^2 + E22^2) )*(E22/E21)</f>
        <v>1.6764032856757571</v>
      </c>
    </row>
    <row r="31" spans="4:8" ht="18" hidden="1" x14ac:dyDescent="0.35">
      <c r="D31" s="1" t="s">
        <v>65</v>
      </c>
      <c r="E31">
        <f>E26*(1+E30)*10^-3</f>
        <v>8.4389037268237939</v>
      </c>
    </row>
    <row r="32" spans="4:8" ht="18" hidden="1" x14ac:dyDescent="0.35">
      <c r="D32" s="1" t="s">
        <v>77</v>
      </c>
      <c r="E32">
        <f>3*E31</f>
        <v>25.31671118047138</v>
      </c>
    </row>
    <row r="33" spans="1:5" ht="18" x14ac:dyDescent="0.35">
      <c r="D33" s="29" t="s">
        <v>68</v>
      </c>
      <c r="E33" s="33">
        <f>E32*B11*B10</f>
        <v>22177.438994092929</v>
      </c>
    </row>
    <row r="34" spans="1:5" ht="18" x14ac:dyDescent="0.35">
      <c r="D34" s="29" t="s">
        <v>69</v>
      </c>
      <c r="E34" s="33">
        <f>B13*E33</f>
        <v>7451.6195020152245</v>
      </c>
    </row>
    <row r="35" spans="1:5" ht="18" hidden="1" x14ac:dyDescent="0.35">
      <c r="D35" s="7" t="s">
        <v>70</v>
      </c>
      <c r="E35" s="9">
        <f>E26*10^-3*3*B10*B11*B13</f>
        <v>2784.1915834944093</v>
      </c>
    </row>
    <row r="36" spans="1:5" ht="18" x14ac:dyDescent="0.35">
      <c r="D36" s="29" t="s">
        <v>78</v>
      </c>
      <c r="E36" s="33">
        <f>E34-E35</f>
        <v>4667.4279185208152</v>
      </c>
    </row>
    <row r="41" spans="1:5" x14ac:dyDescent="0.3">
      <c r="A41" t="s">
        <v>30</v>
      </c>
    </row>
    <row r="42" spans="1:5" x14ac:dyDescent="0.3">
      <c r="A42" t="s">
        <v>31</v>
      </c>
    </row>
    <row r="43" spans="1:5" x14ac:dyDescent="0.3">
      <c r="A43" t="s">
        <v>27</v>
      </c>
    </row>
    <row r="44" spans="1:5" x14ac:dyDescent="0.3">
      <c r="A44" t="s">
        <v>79</v>
      </c>
    </row>
    <row r="45" spans="1:5" x14ac:dyDescent="0.3">
      <c r="A45" t="s">
        <v>28</v>
      </c>
    </row>
    <row r="46" spans="1:5" x14ac:dyDescent="0.3">
      <c r="A46" t="s">
        <v>29</v>
      </c>
    </row>
  </sheetData>
  <sheetProtection sheet="1" objects="1" scenarios="1"/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CC46-736E-440A-A350-E36F4ADB8F4A}">
  <dimension ref="A1"/>
  <sheetViews>
    <sheetView workbookViewId="0"/>
  </sheetViews>
  <sheetFormatPr defaultRowHeight="14.4" x14ac:dyDescent="0.3"/>
  <sheetData/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9154C-2FC1-4940-B3B0-6C69899504E3}">
  <dimension ref="A1:I57"/>
  <sheetViews>
    <sheetView topLeftCell="A8" workbookViewId="0">
      <selection activeCell="A66" sqref="A66"/>
    </sheetView>
  </sheetViews>
  <sheetFormatPr defaultRowHeight="14.4" x14ac:dyDescent="0.3"/>
  <cols>
    <col min="1" max="1" width="48.21875" customWidth="1"/>
    <col min="2" max="2" width="32.77734375" customWidth="1"/>
    <col min="4" max="4" width="63.77734375" customWidth="1"/>
    <col min="5" max="5" width="34.21875" customWidth="1"/>
    <col min="8" max="8" width="25.77734375" customWidth="1"/>
    <col min="9" max="9" width="29.44140625" customWidth="1"/>
  </cols>
  <sheetData>
    <row r="1" spans="1:2" ht="18" x14ac:dyDescent="0.35">
      <c r="A1" s="1" t="s">
        <v>0</v>
      </c>
      <c r="B1" s="1" t="s">
        <v>1</v>
      </c>
    </row>
    <row r="2" spans="1:2" ht="18" x14ac:dyDescent="0.35">
      <c r="A2" s="1" t="s">
        <v>38</v>
      </c>
      <c r="B2" s="1">
        <f>Table_Invul[[#This Row],[Values]]</f>
        <v>2000</v>
      </c>
    </row>
    <row r="3" spans="1:2" ht="18" x14ac:dyDescent="0.35">
      <c r="A3" s="1" t="s">
        <v>4</v>
      </c>
      <c r="B3" s="1">
        <f>Table_Invul[[#This Row],[Values]]</f>
        <v>50</v>
      </c>
    </row>
    <row r="4" spans="1:2" ht="36" x14ac:dyDescent="0.35">
      <c r="A4" s="32" t="s">
        <v>73</v>
      </c>
      <c r="B4" s="1">
        <f>Table_Invul[[#This Row],[Values]]</f>
        <v>9.2999999999999999E-2</v>
      </c>
    </row>
    <row r="5" spans="1:2" ht="18" x14ac:dyDescent="0.35">
      <c r="A5" s="27" t="s">
        <v>9</v>
      </c>
      <c r="B5" s="27">
        <f>Table_Invul[[#This Row],[Values]]</f>
        <v>7.4999999999999997E-2</v>
      </c>
    </row>
    <row r="6" spans="1:2" ht="18" x14ac:dyDescent="0.35">
      <c r="A6" s="27" t="s">
        <v>10</v>
      </c>
      <c r="B6" s="27">
        <f>Table_Invul[[#This Row],[Values]]</f>
        <v>1.1459999999999999E-3</v>
      </c>
    </row>
    <row r="7" spans="1:2" ht="18" x14ac:dyDescent="0.35">
      <c r="A7" s="27" t="s">
        <v>11</v>
      </c>
      <c r="B7" s="27">
        <f>Table_Invul[[#This Row],[Values]]</f>
        <v>2.3875999999999997E-4</v>
      </c>
    </row>
    <row r="8" spans="1:2" ht="18" x14ac:dyDescent="0.35">
      <c r="A8" s="27" t="s">
        <v>40</v>
      </c>
      <c r="B8" s="27" t="str">
        <f>Table_Invul[[#This Row],[Values]]</f>
        <v>Copper</v>
      </c>
    </row>
    <row r="9" spans="1:2" ht="18" x14ac:dyDescent="0.35">
      <c r="A9" s="27" t="s">
        <v>41</v>
      </c>
      <c r="B9" s="27" t="str">
        <f>Table_Invul[[#This Row],[Values]]</f>
        <v>Copper</v>
      </c>
    </row>
    <row r="10" spans="1:2" ht="18" x14ac:dyDescent="0.35">
      <c r="A10" s="29" t="s">
        <v>80</v>
      </c>
      <c r="B10" s="29">
        <f>Table_Invul[[#This Row],[Values]]</f>
        <v>0.1</v>
      </c>
    </row>
    <row r="11" spans="1:2" ht="18" x14ac:dyDescent="0.35">
      <c r="A11" s="29" t="s">
        <v>74</v>
      </c>
      <c r="B11" s="29">
        <f>Table_Invul[[#This Row],[Values]]</f>
        <v>8760</v>
      </c>
    </row>
    <row r="12" spans="1:2" ht="18" x14ac:dyDescent="0.35">
      <c r="A12" s="29" t="s">
        <v>20</v>
      </c>
      <c r="B12" s="29">
        <f>Table_Invul[[#This Row],[Values]]</f>
        <v>275</v>
      </c>
    </row>
    <row r="13" spans="1:2" ht="18" x14ac:dyDescent="0.35">
      <c r="A13" s="29" t="s">
        <v>42</v>
      </c>
      <c r="B13" s="29">
        <f>Table_Invul[[#This Row],[Values]]</f>
        <v>0.33600000000000002</v>
      </c>
    </row>
    <row r="17" spans="1:9" ht="18" x14ac:dyDescent="0.35">
      <c r="D17" s="1" t="s">
        <v>19</v>
      </c>
      <c r="E17" t="s">
        <v>1</v>
      </c>
      <c r="H17" t="s">
        <v>44</v>
      </c>
      <c r="I17" t="s">
        <v>1</v>
      </c>
    </row>
    <row r="18" spans="1:9" ht="18" hidden="1" x14ac:dyDescent="0.35">
      <c r="D18" s="1" t="s">
        <v>43</v>
      </c>
      <c r="E18" cm="1">
        <f t="array" ref="E18">_xlfn.IFS(
LOWER($B8)="copper", 1/58000000,
LOWER($B8)="aluminium", 1/36900000,
TRUE, "Unknown"
)</f>
        <v>1.7241379310344829E-8</v>
      </c>
      <c r="H18" t="s">
        <v>75</v>
      </c>
      <c r="I18">
        <f>((8*PI()*B3)/I19)*10^-7*1</f>
        <v>8.3526152199522539</v>
      </c>
    </row>
    <row r="19" spans="1:9" ht="43.8" hidden="1" x14ac:dyDescent="0.35">
      <c r="A19" s="6" t="s">
        <v>81</v>
      </c>
      <c r="D19" s="1" t="s">
        <v>45</v>
      </c>
      <c r="E19" s="2" cm="1">
        <f t="array" ref="E19">_xlfn.IFS(LOWER($B9)="copper", 1/58000000,
LOWER($B9)="aluminium", 1/35000000, LOWER($B9)="lead", 1/ 4810000,
TRUE, "Unknown"
)</f>
        <v>1.7241379310344829E-8</v>
      </c>
      <c r="H19" t="s">
        <v>48</v>
      </c>
      <c r="I19">
        <f>(E18)/B6</f>
        <v>1.5044833604140341E-5</v>
      </c>
    </row>
    <row r="20" spans="1:9" ht="18" hidden="1" x14ac:dyDescent="0.35">
      <c r="D20" s="1" t="s">
        <v>47</v>
      </c>
      <c r="E20">
        <f>I26</f>
        <v>2.0846785349599961E-5</v>
      </c>
      <c r="H20" t="s">
        <v>76</v>
      </c>
      <c r="I20">
        <f>SQRT(((8*PI()*B3)/I19)*10^-7*1)</f>
        <v>2.8900891370254058</v>
      </c>
    </row>
    <row r="21" spans="1:9" ht="18" hidden="1" x14ac:dyDescent="0.35">
      <c r="D21" s="1" t="s">
        <v>49</v>
      </c>
      <c r="E21">
        <f>(E19)/B7</f>
        <v>7.2212176706084897E-5</v>
      </c>
      <c r="H21" t="s">
        <v>52</v>
      </c>
      <c r="I21">
        <f>(2*E23/B4)</f>
        <v>0.41073756070022738</v>
      </c>
    </row>
    <row r="22" spans="1:9" ht="18" hidden="1" x14ac:dyDescent="0.35">
      <c r="D22" s="1" t="s">
        <v>51</v>
      </c>
      <c r="E22">
        <f>B5/2-E23</f>
        <v>1.8400703427439425E-2</v>
      </c>
      <c r="H22" t="s">
        <v>54</v>
      </c>
      <c r="I22">
        <f>I18^2/(192+(0.8*I18^2))</f>
        <v>0.28152758955368817</v>
      </c>
    </row>
    <row r="23" spans="1:9" ht="18" hidden="1" x14ac:dyDescent="0.35">
      <c r="D23" s="1" t="s">
        <v>53</v>
      </c>
      <c r="E23">
        <f>SQRT(B6/PI())</f>
        <v>1.9099296572560574E-2</v>
      </c>
      <c r="H23" t="s">
        <v>56</v>
      </c>
      <c r="I23">
        <f>I22*(I21)^2</f>
        <v>4.749520877638682E-2</v>
      </c>
    </row>
    <row r="24" spans="1:9" ht="18" hidden="1" x14ac:dyDescent="0.35">
      <c r="D24" s="1" t="s">
        <v>55</v>
      </c>
      <c r="E24">
        <f>E22+E23+0.001</f>
        <v>3.85E-2</v>
      </c>
      <c r="H24" t="s">
        <v>58</v>
      </c>
      <c r="I24">
        <f>0.312*(I21)^2+(1.18/(I22+0.27))</f>
        <v>2.1921482554948821</v>
      </c>
    </row>
    <row r="25" spans="1:9" ht="18" hidden="1" x14ac:dyDescent="0.35">
      <c r="D25" s="1" t="s">
        <v>57</v>
      </c>
      <c r="E25">
        <f>B12^2*E20*B2</f>
        <v>3153.0762841269939</v>
      </c>
      <c r="H25" t="s">
        <v>60</v>
      </c>
      <c r="I25">
        <f>I23*I24</f>
        <v>0.10411653906352158</v>
      </c>
    </row>
    <row r="26" spans="1:9" ht="18" hidden="1" x14ac:dyDescent="0.35">
      <c r="D26" s="1" t="s">
        <v>82</v>
      </c>
      <c r="E26">
        <f>2*10^-7*LN(B4/E24)*E27</f>
        <v>5.5414003154792909E-5</v>
      </c>
      <c r="H26" s="10" t="s">
        <v>62</v>
      </c>
      <c r="I26" s="12">
        <f>I19*(1+I22+I25)</f>
        <v>2.0846785349599961E-5</v>
      </c>
    </row>
    <row r="27" spans="1:9" ht="18" hidden="1" x14ac:dyDescent="0.35">
      <c r="D27" s="1" t="s">
        <v>61</v>
      </c>
      <c r="E27">
        <f>2*PI()*B3</f>
        <v>314.15926535897933</v>
      </c>
    </row>
    <row r="28" spans="1:9" ht="18" hidden="1" x14ac:dyDescent="0.35">
      <c r="D28" s="1" t="s">
        <v>83</v>
      </c>
      <c r="E28">
        <f>2*E27*LN(2)*10^-7</f>
        <v>4.3551721806072043E-5</v>
      </c>
    </row>
    <row r="29" spans="1:9" ht="18" hidden="1" x14ac:dyDescent="0.35">
      <c r="D29" s="1" t="s">
        <v>84</v>
      </c>
      <c r="E29">
        <f>E26+E28</f>
        <v>9.8965724960864952E-5</v>
      </c>
    </row>
    <row r="30" spans="1:9" ht="18" hidden="1" x14ac:dyDescent="0.35">
      <c r="D30" s="1" t="s">
        <v>85</v>
      </c>
      <c r="E30">
        <f>E26-E28/3</f>
        <v>4.0896762552768898E-5</v>
      </c>
    </row>
    <row r="31" spans="1:9" ht="18" hidden="1" x14ac:dyDescent="0.35">
      <c r="D31" s="1" t="s">
        <v>86</v>
      </c>
      <c r="E31">
        <f>(0.75*E29^2)/(E21^2+E29^2)</f>
        <v>0.48942317749334119</v>
      </c>
    </row>
    <row r="32" spans="1:9" ht="18" hidden="1" x14ac:dyDescent="0.35">
      <c r="D32" s="1" t="s">
        <v>87</v>
      </c>
      <c r="E32">
        <f>0.25*E30^2/(E21^2+E30^2)</f>
        <v>6.0712585355659383E-2</v>
      </c>
    </row>
    <row r="33" spans="1:5" ht="18" hidden="1" x14ac:dyDescent="0.35">
      <c r="D33" s="1" t="s">
        <v>88</v>
      </c>
      <c r="E33">
        <f>(2*E21*E29*E30*E28)/(SQRT(3)*(E21^2+E29^2)*(E21^2+E30^2))</f>
        <v>0.14219141656093068</v>
      </c>
    </row>
    <row r="34" spans="1:5" ht="18" hidden="1" x14ac:dyDescent="0.35">
      <c r="D34" s="1" t="s">
        <v>89</v>
      </c>
      <c r="E34">
        <f>(E31+E32+E33)*(E21/E20)</f>
        <v>2.3981852251831559</v>
      </c>
    </row>
    <row r="35" spans="1:5" ht="18" hidden="1" x14ac:dyDescent="0.35">
      <c r="D35" s="1" t="s">
        <v>90</v>
      </c>
      <c r="E35">
        <f>(E31+E32-E33)*(E21/E20)</f>
        <v>1.4130979297950934</v>
      </c>
    </row>
    <row r="36" spans="1:5" ht="18" hidden="1" x14ac:dyDescent="0.35">
      <c r="D36" s="1" t="s">
        <v>91</v>
      </c>
      <c r="E36">
        <f>(E21/E20)*(E30^2/(E21^2+E30^2))</f>
        <v>0.84122091122701903</v>
      </c>
    </row>
    <row r="37" spans="1:5" ht="18" hidden="1" x14ac:dyDescent="0.35">
      <c r="D37" s="1" t="s">
        <v>92</v>
      </c>
      <c r="E37">
        <f>E25*(1+E34)</f>
        <v>10714.737242595756</v>
      </c>
    </row>
    <row r="38" spans="1:5" ht="18" hidden="1" x14ac:dyDescent="0.35">
      <c r="D38" s="1" t="s">
        <v>93</v>
      </c>
      <c r="E38">
        <f>E25*(1+E35)</f>
        <v>7608.6818537128547</v>
      </c>
    </row>
    <row r="39" spans="1:5" ht="18" hidden="1" x14ac:dyDescent="0.35">
      <c r="D39" s="1" t="s">
        <v>94</v>
      </c>
      <c r="E39">
        <f>E25*(E36+1)</f>
        <v>5805.5099890286065</v>
      </c>
    </row>
    <row r="40" spans="1:5" s="3" customFormat="1" ht="18" hidden="1" x14ac:dyDescent="0.35">
      <c r="D40" s="4" t="s">
        <v>95</v>
      </c>
      <c r="E40" s="3">
        <f>SUM(E37:E39)*10^-3</f>
        <v>24.128929085337219</v>
      </c>
    </row>
    <row r="41" spans="1:5" ht="18" x14ac:dyDescent="0.35">
      <c r="D41" s="29" t="s">
        <v>68</v>
      </c>
      <c r="E41" s="33">
        <f>E40*B10*B11</f>
        <v>21136.941878755406</v>
      </c>
    </row>
    <row r="42" spans="1:5" ht="18" x14ac:dyDescent="0.35">
      <c r="A42" s="34"/>
      <c r="D42" s="29" t="s">
        <v>69</v>
      </c>
      <c r="E42" s="33">
        <f>B13*E41</f>
        <v>7102.0124712618172</v>
      </c>
    </row>
    <row r="43" spans="1:5" ht="18" hidden="1" x14ac:dyDescent="0.35">
      <c r="D43" s="7" t="s">
        <v>70</v>
      </c>
      <c r="E43" s="11">
        <f>E25*10^-3*3*B10*B11*B13</f>
        <v>2784.1915834944093</v>
      </c>
    </row>
    <row r="44" spans="1:5" ht="18" x14ac:dyDescent="0.35">
      <c r="D44" s="29" t="s">
        <v>78</v>
      </c>
      <c r="E44" s="33">
        <f>E42-E43</f>
        <v>4317.8208877674078</v>
      </c>
    </row>
    <row r="51" spans="1:1" x14ac:dyDescent="0.3">
      <c r="A51" t="s">
        <v>30</v>
      </c>
    </row>
    <row r="52" spans="1:1" x14ac:dyDescent="0.3">
      <c r="A52" t="s">
        <v>31</v>
      </c>
    </row>
    <row r="53" spans="1:1" x14ac:dyDescent="0.3">
      <c r="A53" t="s">
        <v>27</v>
      </c>
    </row>
    <row r="54" spans="1:1" x14ac:dyDescent="0.3">
      <c r="A54" t="s">
        <v>79</v>
      </c>
    </row>
    <row r="55" spans="1:1" x14ac:dyDescent="0.3">
      <c r="A55" t="s">
        <v>96</v>
      </c>
    </row>
    <row r="56" spans="1:1" x14ac:dyDescent="0.3">
      <c r="A56" t="s">
        <v>28</v>
      </c>
    </row>
    <row r="57" spans="1:1" x14ac:dyDescent="0.3">
      <c r="A57" t="s">
        <v>29</v>
      </c>
    </row>
  </sheetData>
  <sheetProtection sheet="1" objects="1" scenarios="1"/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Parameters to fill</vt:lpstr>
      <vt:lpstr>Trefoil formation </vt:lpstr>
      <vt:lpstr>Flat (transposition)</vt:lpstr>
      <vt:lpstr>Sheet1</vt:lpstr>
      <vt:lpstr>Flat (no transposition)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Wietze Jonker | Lovink</dc:creator>
  <cp:keywords/>
  <dc:description/>
  <cp:lastModifiedBy>Wietze Jonker | Lovink</cp:lastModifiedBy>
  <cp:revision/>
  <dcterms:created xsi:type="dcterms:W3CDTF">2015-06-05T18:17:20Z</dcterms:created>
  <dcterms:modified xsi:type="dcterms:W3CDTF">2026-06-05T14:10:28Z</dcterms:modified>
  <cp:category/>
  <cp:contentStatus/>
</cp:coreProperties>
</file>